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480" yWindow="120" windowWidth="22116" windowHeight="9576"/>
  </bookViews>
  <sheets>
    <sheet name="Axcel's BO MoneyManagement" sheetId="1" r:id="rId1"/>
  </sheets>
  <definedNames>
    <definedName name="DataTab">'Axcel''s BO MoneyManagement'!$J$8:$AG$107</definedName>
    <definedName name="EtappenNo">'Axcel''s BO MoneyManagement'!$J$8:$J$107</definedName>
  </definedNames>
  <calcPr calcId="145621"/>
</workbook>
</file>

<file path=xl/calcChain.xml><?xml version="1.0" encoding="utf-8"?>
<calcChain xmlns="http://schemas.openxmlformats.org/spreadsheetml/2006/main">
  <c r="G105" i="1" l="1"/>
  <c r="G104" i="1"/>
  <c r="G100" i="1"/>
  <c r="G99" i="1"/>
  <c r="G95" i="1"/>
  <c r="G94" i="1"/>
  <c r="G90" i="1"/>
  <c r="G89" i="1"/>
  <c r="G85" i="1"/>
  <c r="G84" i="1"/>
  <c r="G80" i="1"/>
  <c r="G79" i="1"/>
  <c r="G75" i="1"/>
  <c r="G74" i="1"/>
  <c r="G70" i="1"/>
  <c r="G69" i="1"/>
  <c r="G65" i="1"/>
  <c r="G64" i="1"/>
  <c r="G60" i="1"/>
  <c r="G59" i="1"/>
  <c r="G55" i="1"/>
  <c r="G54" i="1"/>
  <c r="G50" i="1"/>
  <c r="G49" i="1"/>
  <c r="G45" i="1"/>
  <c r="G44" i="1"/>
  <c r="G40" i="1"/>
  <c r="G39" i="1"/>
  <c r="G35" i="1"/>
  <c r="G34" i="1"/>
  <c r="G30" i="1"/>
  <c r="G29" i="1"/>
  <c r="G20" i="1"/>
  <c r="G19" i="1"/>
  <c r="G25" i="1"/>
  <c r="G24" i="1"/>
  <c r="G15" i="1"/>
  <c r="G14" i="1"/>
  <c r="C13" i="1"/>
  <c r="M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9" i="1"/>
  <c r="Y8" i="1"/>
  <c r="J8" i="1" s="1"/>
  <c r="V8" i="1"/>
  <c r="U8" i="1"/>
  <c r="W8" i="1" l="1"/>
  <c r="AD8" i="1"/>
  <c r="U9" i="1"/>
  <c r="U10" i="1" s="1"/>
  <c r="X10" i="1" s="1"/>
  <c r="K8" i="1"/>
  <c r="X8" i="1"/>
  <c r="C18" i="1"/>
  <c r="AC8" i="1"/>
  <c r="AE8" i="1"/>
  <c r="Z8" i="1" l="1"/>
  <c r="X9" i="1"/>
  <c r="W9" i="1"/>
  <c r="W10" i="1"/>
  <c r="U11" i="1"/>
  <c r="X11" i="1" s="1"/>
  <c r="AF8" i="1"/>
  <c r="AA8" i="1"/>
  <c r="C23" i="1"/>
  <c r="AG8" i="1"/>
  <c r="G10" i="1"/>
  <c r="L3" i="1"/>
  <c r="U12" i="1" l="1"/>
  <c r="W11" i="1"/>
  <c r="AB8" i="1"/>
  <c r="N8" i="1"/>
  <c r="O8" i="1" s="1"/>
  <c r="C28" i="1"/>
  <c r="R2" i="1"/>
  <c r="I2" i="1"/>
  <c r="G9" i="1"/>
  <c r="X12" i="1" l="1"/>
  <c r="W12" i="1"/>
  <c r="U13" i="1"/>
  <c r="Y9" i="1"/>
  <c r="K9" i="1" s="1"/>
  <c r="M8" i="1"/>
  <c r="P8" i="1"/>
  <c r="Q8" i="1" s="1"/>
  <c r="C33" i="1"/>
  <c r="X13" i="1" l="1"/>
  <c r="U14" i="1"/>
  <c r="W13" i="1"/>
  <c r="J9" i="1"/>
  <c r="AD9" i="1"/>
  <c r="Z9" i="1" s="1"/>
  <c r="AC9" i="1"/>
  <c r="AE9" i="1"/>
  <c r="AA9" i="1" s="1"/>
  <c r="C38" i="1"/>
  <c r="W14" i="1" l="1"/>
  <c r="U15" i="1"/>
  <c r="X14" i="1"/>
  <c r="AB9" i="1"/>
  <c r="AG9" i="1"/>
  <c r="AF9" i="1"/>
  <c r="N9" i="1" s="1"/>
  <c r="C43" i="1"/>
  <c r="X15" i="1" l="1"/>
  <c r="W15" i="1"/>
  <c r="U16" i="1"/>
  <c r="Y10" i="1"/>
  <c r="M9" i="1"/>
  <c r="P9" i="1"/>
  <c r="Q9" i="1" s="1"/>
  <c r="O9" i="1"/>
  <c r="C48" i="1"/>
  <c r="U17" i="1" l="1"/>
  <c r="X16" i="1"/>
  <c r="W16" i="1"/>
  <c r="AE10" i="1"/>
  <c r="AA10" i="1" s="1"/>
  <c r="AD10" i="1"/>
  <c r="Z10" i="1" s="1"/>
  <c r="AC10" i="1"/>
  <c r="J10" i="1"/>
  <c r="K10" i="1"/>
  <c r="C53" i="1"/>
  <c r="W17" i="1" l="1"/>
  <c r="X17" i="1"/>
  <c r="U18" i="1"/>
  <c r="AB10" i="1"/>
  <c r="AF10" i="1"/>
  <c r="N10" i="1" s="1"/>
  <c r="AG10" i="1"/>
  <c r="C58" i="1"/>
  <c r="W18" i="1" l="1"/>
  <c r="X18" i="1"/>
  <c r="U19" i="1"/>
  <c r="O10" i="1"/>
  <c r="P10" i="1"/>
  <c r="Q10" i="1" s="1"/>
  <c r="Y11" i="1"/>
  <c r="M10" i="1"/>
  <c r="C63" i="1"/>
  <c r="U20" i="1" l="1"/>
  <c r="W19" i="1"/>
  <c r="X19" i="1"/>
  <c r="J11" i="1"/>
  <c r="K11" i="1"/>
  <c r="AE11" i="1"/>
  <c r="AA11" i="1" s="1"/>
  <c r="AD11" i="1"/>
  <c r="Z11" i="1" s="1"/>
  <c r="AC11" i="1"/>
  <c r="C68" i="1"/>
  <c r="W20" i="1" l="1"/>
  <c r="X20" i="1"/>
  <c r="U21" i="1"/>
  <c r="AB11" i="1"/>
  <c r="AF11" i="1"/>
  <c r="N11" i="1" s="1"/>
  <c r="AG11" i="1"/>
  <c r="C73" i="1"/>
  <c r="U22" i="1" l="1"/>
  <c r="X21" i="1"/>
  <c r="W21" i="1"/>
  <c r="Y12" i="1"/>
  <c r="M11" i="1"/>
  <c r="P11" i="1"/>
  <c r="Q11" i="1" s="1"/>
  <c r="O11" i="1"/>
  <c r="C78" i="1"/>
  <c r="U23" i="1" l="1"/>
  <c r="W22" i="1"/>
  <c r="X22" i="1"/>
  <c r="AE12" i="1"/>
  <c r="AA12" i="1" s="1"/>
  <c r="J12" i="1"/>
  <c r="K12" i="1"/>
  <c r="AC12" i="1"/>
  <c r="AD12" i="1"/>
  <c r="Z12" i="1" s="1"/>
  <c r="C83" i="1"/>
  <c r="U24" i="1" l="1"/>
  <c r="W23" i="1"/>
  <c r="X23" i="1"/>
  <c r="AG12" i="1"/>
  <c r="AB12" i="1"/>
  <c r="AF12" i="1"/>
  <c r="N12" i="1" s="1"/>
  <c r="C88" i="1"/>
  <c r="X24" i="1" l="1"/>
  <c r="W24" i="1"/>
  <c r="U25" i="1"/>
  <c r="O12" i="1"/>
  <c r="P12" i="1"/>
  <c r="Q12" i="1" s="1"/>
  <c r="Y13" i="1"/>
  <c r="M12" i="1"/>
  <c r="C93" i="1"/>
  <c r="W25" i="1" l="1"/>
  <c r="X25" i="1"/>
  <c r="U26" i="1"/>
  <c r="AC13" i="1"/>
  <c r="AD13" i="1"/>
  <c r="Z13" i="1" s="1"/>
  <c r="J13" i="1"/>
  <c r="K13" i="1"/>
  <c r="AE13" i="1"/>
  <c r="AA13" i="1" s="1"/>
  <c r="C98" i="1"/>
  <c r="U27" i="1" l="1"/>
  <c r="W26" i="1"/>
  <c r="X26" i="1"/>
  <c r="AG13" i="1"/>
  <c r="AB13" i="1"/>
  <c r="AF13" i="1"/>
  <c r="N13" i="1" s="1"/>
  <c r="C103" i="1"/>
  <c r="U28" i="1" l="1"/>
  <c r="W27" i="1"/>
  <c r="X27" i="1"/>
  <c r="O13" i="1"/>
  <c r="P13" i="1"/>
  <c r="Q13" i="1" s="1"/>
  <c r="Y14" i="1"/>
  <c r="M13" i="1"/>
  <c r="U29" i="1" l="1"/>
  <c r="W28" i="1"/>
  <c r="X28" i="1"/>
  <c r="AE14" i="1"/>
  <c r="AA14" i="1" s="1"/>
  <c r="AD14" i="1"/>
  <c r="Z14" i="1" s="1"/>
  <c r="J14" i="1"/>
  <c r="K14" i="1"/>
  <c r="AC14" i="1"/>
  <c r="U30" i="1" l="1"/>
  <c r="X29" i="1"/>
  <c r="W29" i="1"/>
  <c r="AB14" i="1"/>
  <c r="AG14" i="1"/>
  <c r="AF14" i="1"/>
  <c r="N14" i="1" s="1"/>
  <c r="X30" i="1" l="1"/>
  <c r="U31" i="1"/>
  <c r="W30" i="1"/>
  <c r="O14" i="1"/>
  <c r="P14" i="1"/>
  <c r="Q14" i="1" s="1"/>
  <c r="M14" i="1"/>
  <c r="Y15" i="1"/>
  <c r="W31" i="1" l="1"/>
  <c r="X31" i="1"/>
  <c r="U32" i="1"/>
  <c r="AC15" i="1"/>
  <c r="AE15" i="1"/>
  <c r="AA15" i="1" s="1"/>
  <c r="J15" i="1"/>
  <c r="K15" i="1"/>
  <c r="AD15" i="1"/>
  <c r="Z15" i="1" s="1"/>
  <c r="U33" i="1" l="1"/>
  <c r="X32" i="1"/>
  <c r="W32" i="1"/>
  <c r="AB15" i="1"/>
  <c r="AG15" i="1"/>
  <c r="AF15" i="1"/>
  <c r="N15" i="1" s="1"/>
  <c r="U34" i="1" l="1"/>
  <c r="W33" i="1"/>
  <c r="X33" i="1"/>
  <c r="P15" i="1"/>
  <c r="Q15" i="1" s="1"/>
  <c r="O15" i="1"/>
  <c r="Y16" i="1"/>
  <c r="M15" i="1"/>
  <c r="X34" i="1" l="1"/>
  <c r="W34" i="1"/>
  <c r="U35" i="1"/>
  <c r="AE16" i="1"/>
  <c r="AA16" i="1" s="1"/>
  <c r="AD16" i="1"/>
  <c r="Z16" i="1" s="1"/>
  <c r="AC16" i="1"/>
  <c r="K16" i="1"/>
  <c r="J16" i="1"/>
  <c r="W35" i="1" l="1"/>
  <c r="X35" i="1"/>
  <c r="U36" i="1"/>
  <c r="AG16" i="1"/>
  <c r="AB16" i="1"/>
  <c r="AF16" i="1"/>
  <c r="N16" i="1" s="1"/>
  <c r="X36" i="1" l="1"/>
  <c r="U37" i="1"/>
  <c r="W36" i="1"/>
  <c r="O16" i="1"/>
  <c r="P16" i="1"/>
  <c r="Q16" i="1" s="1"/>
  <c r="Y17" i="1"/>
  <c r="M16" i="1"/>
  <c r="U38" i="1" l="1"/>
  <c r="W37" i="1"/>
  <c r="X37" i="1"/>
  <c r="AD17" i="1"/>
  <c r="Z17" i="1" s="1"/>
  <c r="K17" i="1"/>
  <c r="J17" i="1"/>
  <c r="AE17" i="1"/>
  <c r="AA17" i="1" s="1"/>
  <c r="AC17" i="1"/>
  <c r="X38" i="1" l="1"/>
  <c r="U39" i="1"/>
  <c r="W38" i="1"/>
  <c r="AG17" i="1"/>
  <c r="AB17" i="1"/>
  <c r="AF17" i="1"/>
  <c r="N17" i="1" s="1"/>
  <c r="U40" i="1" l="1"/>
  <c r="W39" i="1"/>
  <c r="X39" i="1"/>
  <c r="O17" i="1"/>
  <c r="P17" i="1"/>
  <c r="Q17" i="1" s="1"/>
  <c r="Y18" i="1"/>
  <c r="M17" i="1"/>
  <c r="W40" i="1" l="1"/>
  <c r="X40" i="1"/>
  <c r="U41" i="1"/>
  <c r="AD18" i="1"/>
  <c r="Z18" i="1" s="1"/>
  <c r="AC18" i="1"/>
  <c r="K18" i="1"/>
  <c r="J18" i="1"/>
  <c r="AE18" i="1"/>
  <c r="AA18" i="1" s="1"/>
  <c r="W41" i="1" l="1"/>
  <c r="X41" i="1"/>
  <c r="U42" i="1"/>
  <c r="AB18" i="1"/>
  <c r="AG18" i="1"/>
  <c r="AF18" i="1"/>
  <c r="N18" i="1" s="1"/>
  <c r="X42" i="1" l="1"/>
  <c r="W42" i="1"/>
  <c r="U43" i="1"/>
  <c r="P18" i="1"/>
  <c r="Q18" i="1" s="1"/>
  <c r="O18" i="1"/>
  <c r="Y19" i="1"/>
  <c r="M18" i="1"/>
  <c r="X43" i="1" l="1"/>
  <c r="U44" i="1"/>
  <c r="W43" i="1"/>
  <c r="K19" i="1"/>
  <c r="AC19" i="1"/>
  <c r="AE19" i="1"/>
  <c r="AA19" i="1" s="1"/>
  <c r="J19" i="1"/>
  <c r="AD19" i="1"/>
  <c r="Z19" i="1" s="1"/>
  <c r="U45" i="1" l="1"/>
  <c r="X44" i="1"/>
  <c r="W44" i="1"/>
  <c r="AG19" i="1"/>
  <c r="AB19" i="1"/>
  <c r="AF19" i="1"/>
  <c r="N19" i="1" s="1"/>
  <c r="U46" i="1" l="1"/>
  <c r="W45" i="1"/>
  <c r="X45" i="1"/>
  <c r="P19" i="1"/>
  <c r="Q19" i="1" s="1"/>
  <c r="O19" i="1"/>
  <c r="M19" i="1"/>
  <c r="Y20" i="1"/>
  <c r="U47" i="1" l="1"/>
  <c r="X46" i="1"/>
  <c r="W46" i="1"/>
  <c r="AE20" i="1"/>
  <c r="AA20" i="1" s="1"/>
  <c r="K20" i="1"/>
  <c r="J20" i="1"/>
  <c r="AC20" i="1"/>
  <c r="AD20" i="1"/>
  <c r="Z20" i="1" s="1"/>
  <c r="W47" i="1" l="1"/>
  <c r="X47" i="1"/>
  <c r="U48" i="1"/>
  <c r="AB20" i="1"/>
  <c r="AG20" i="1"/>
  <c r="AF20" i="1"/>
  <c r="N20" i="1" s="1"/>
  <c r="W48" i="1" l="1"/>
  <c r="X48" i="1"/>
  <c r="U49" i="1"/>
  <c r="O20" i="1"/>
  <c r="P20" i="1"/>
  <c r="Q20" i="1" s="1"/>
  <c r="M20" i="1"/>
  <c r="Y21" i="1"/>
  <c r="X49" i="1" l="1"/>
  <c r="U50" i="1"/>
  <c r="W49" i="1"/>
  <c r="J21" i="1"/>
  <c r="K21" i="1"/>
  <c r="AD21" i="1"/>
  <c r="Z21" i="1" s="1"/>
  <c r="AC21" i="1"/>
  <c r="AE21" i="1"/>
  <c r="AA21" i="1" s="1"/>
  <c r="U51" i="1" l="1"/>
  <c r="X50" i="1"/>
  <c r="W50" i="1"/>
  <c r="AB21" i="1"/>
  <c r="AG21" i="1"/>
  <c r="AF21" i="1"/>
  <c r="N21" i="1" s="1"/>
  <c r="U52" i="1" l="1"/>
  <c r="W51" i="1"/>
  <c r="X51" i="1"/>
  <c r="P21" i="1"/>
  <c r="Q21" i="1" s="1"/>
  <c r="O21" i="1"/>
  <c r="Y22" i="1"/>
  <c r="M21" i="1"/>
  <c r="U53" i="1" l="1"/>
  <c r="X52" i="1"/>
  <c r="W52" i="1"/>
  <c r="AE22" i="1"/>
  <c r="AA22" i="1" s="1"/>
  <c r="K22" i="1"/>
  <c r="AD22" i="1"/>
  <c r="Z22" i="1" s="1"/>
  <c r="J22" i="1"/>
  <c r="AC22" i="1"/>
  <c r="X53" i="1" l="1"/>
  <c r="U54" i="1"/>
  <c r="W53" i="1"/>
  <c r="AG22" i="1"/>
  <c r="AB22" i="1"/>
  <c r="AF22" i="1"/>
  <c r="N22" i="1" s="1"/>
  <c r="W54" i="1" l="1"/>
  <c r="X54" i="1"/>
  <c r="U55" i="1"/>
  <c r="O22" i="1"/>
  <c r="P22" i="1"/>
  <c r="Q22" i="1" s="1"/>
  <c r="Y23" i="1"/>
  <c r="M22" i="1"/>
  <c r="U56" i="1" l="1"/>
  <c r="W55" i="1"/>
  <c r="X55" i="1"/>
  <c r="AC23" i="1"/>
  <c r="K23" i="1"/>
  <c r="AE23" i="1"/>
  <c r="AA23" i="1" s="1"/>
  <c r="J23" i="1"/>
  <c r="AD23" i="1"/>
  <c r="Z23" i="1" s="1"/>
  <c r="W56" i="1" l="1"/>
  <c r="X56" i="1"/>
  <c r="U57" i="1"/>
  <c r="AB23" i="1"/>
  <c r="AG23" i="1"/>
  <c r="AF23" i="1"/>
  <c r="N23" i="1" s="1"/>
  <c r="W57" i="1" l="1"/>
  <c r="X57" i="1"/>
  <c r="U58" i="1"/>
  <c r="P23" i="1"/>
  <c r="Q23" i="1" s="1"/>
  <c r="O23" i="1"/>
  <c r="M23" i="1"/>
  <c r="Y24" i="1"/>
  <c r="W58" i="1" l="1"/>
  <c r="X58" i="1"/>
  <c r="U59" i="1"/>
  <c r="J24" i="1"/>
  <c r="AD24" i="1"/>
  <c r="Z24" i="1" s="1"/>
  <c r="K24" i="1"/>
  <c r="AC24" i="1"/>
  <c r="AE24" i="1"/>
  <c r="AA24" i="1" s="1"/>
  <c r="X59" i="1" l="1"/>
  <c r="U60" i="1"/>
  <c r="W59" i="1"/>
  <c r="AB24" i="1"/>
  <c r="AG24" i="1"/>
  <c r="AF24" i="1"/>
  <c r="N24" i="1" s="1"/>
  <c r="X60" i="1" l="1"/>
  <c r="W60" i="1"/>
  <c r="U61" i="1"/>
  <c r="O24" i="1"/>
  <c r="P24" i="1"/>
  <c r="Q24" i="1" s="1"/>
  <c r="M24" i="1"/>
  <c r="Y25" i="1"/>
  <c r="U62" i="1" l="1"/>
  <c r="W61" i="1"/>
  <c r="X61" i="1"/>
  <c r="AC25" i="1"/>
  <c r="K25" i="1"/>
  <c r="J25" i="1"/>
  <c r="AD25" i="1"/>
  <c r="Z25" i="1" s="1"/>
  <c r="AE25" i="1"/>
  <c r="AA25" i="1" s="1"/>
  <c r="X62" i="1" l="1"/>
  <c r="U63" i="1"/>
  <c r="W62" i="1"/>
  <c r="AB25" i="1"/>
  <c r="AG25" i="1"/>
  <c r="AF25" i="1"/>
  <c r="N25" i="1" s="1"/>
  <c r="W63" i="1" l="1"/>
  <c r="X63" i="1"/>
  <c r="U64" i="1"/>
  <c r="P25" i="1"/>
  <c r="Q25" i="1" s="1"/>
  <c r="O25" i="1"/>
  <c r="M25" i="1"/>
  <c r="Y26" i="1"/>
  <c r="W64" i="1" l="1"/>
  <c r="X64" i="1"/>
  <c r="U65" i="1"/>
  <c r="AE26" i="1"/>
  <c r="AA26" i="1" s="1"/>
  <c r="J26" i="1"/>
  <c r="K26" i="1"/>
  <c r="AD26" i="1"/>
  <c r="Z26" i="1" s="1"/>
  <c r="AC26" i="1"/>
  <c r="W65" i="1" l="1"/>
  <c r="X65" i="1"/>
  <c r="U66" i="1"/>
  <c r="AG26" i="1"/>
  <c r="AB26" i="1"/>
  <c r="AF26" i="1"/>
  <c r="N26" i="1" s="1"/>
  <c r="X66" i="1" l="1"/>
  <c r="U67" i="1"/>
  <c r="W66" i="1"/>
  <c r="P26" i="1"/>
  <c r="Q26" i="1" s="1"/>
  <c r="O26" i="1"/>
  <c r="Y27" i="1"/>
  <c r="M26" i="1"/>
  <c r="U68" i="1" l="1"/>
  <c r="W67" i="1"/>
  <c r="X67" i="1"/>
  <c r="AE27" i="1"/>
  <c r="AA27" i="1" s="1"/>
  <c r="J27" i="1"/>
  <c r="K27" i="1"/>
  <c r="AC27" i="1"/>
  <c r="AD27" i="1"/>
  <c r="Z27" i="1" s="1"/>
  <c r="U69" i="1" l="1"/>
  <c r="X68" i="1"/>
  <c r="W68" i="1"/>
  <c r="AB27" i="1"/>
  <c r="AG27" i="1"/>
  <c r="AF27" i="1"/>
  <c r="N27" i="1" s="1"/>
  <c r="X69" i="1" l="1"/>
  <c r="W69" i="1"/>
  <c r="U70" i="1"/>
  <c r="O27" i="1"/>
  <c r="P27" i="1"/>
  <c r="Q27" i="1" s="1"/>
  <c r="Y28" i="1"/>
  <c r="M27" i="1"/>
  <c r="U71" i="1" l="1"/>
  <c r="W70" i="1"/>
  <c r="X70" i="1"/>
  <c r="J28" i="1"/>
  <c r="AC28" i="1"/>
  <c r="AE28" i="1"/>
  <c r="AA28" i="1" s="1"/>
  <c r="K28" i="1"/>
  <c r="AD28" i="1"/>
  <c r="Z28" i="1" s="1"/>
  <c r="W71" i="1" l="1"/>
  <c r="X71" i="1"/>
  <c r="U72" i="1"/>
  <c r="AB28" i="1"/>
  <c r="AG28" i="1"/>
  <c r="AF28" i="1"/>
  <c r="N28" i="1" s="1"/>
  <c r="W72" i="1" l="1"/>
  <c r="X72" i="1"/>
  <c r="U73" i="1"/>
  <c r="O28" i="1"/>
  <c r="P28" i="1"/>
  <c r="Q28" i="1" s="1"/>
  <c r="Y29" i="1"/>
  <c r="M28" i="1"/>
  <c r="U74" i="1" l="1"/>
  <c r="X73" i="1"/>
  <c r="W73" i="1"/>
  <c r="AC29" i="1"/>
  <c r="K29" i="1"/>
  <c r="J29" i="1"/>
  <c r="AD29" i="1"/>
  <c r="Z29" i="1" s="1"/>
  <c r="AE29" i="1"/>
  <c r="AA29" i="1" s="1"/>
  <c r="U75" i="1" l="1"/>
  <c r="W74" i="1"/>
  <c r="X74" i="1"/>
  <c r="AB29" i="1"/>
  <c r="AG29" i="1"/>
  <c r="AF29" i="1"/>
  <c r="N29" i="1" s="1"/>
  <c r="W75" i="1" l="1"/>
  <c r="U76" i="1"/>
  <c r="X75" i="1"/>
  <c r="P29" i="1"/>
  <c r="Q29" i="1" s="1"/>
  <c r="O29" i="1"/>
  <c r="Y30" i="1"/>
  <c r="M29" i="1"/>
  <c r="W76" i="1" l="1"/>
  <c r="X76" i="1"/>
  <c r="U77" i="1"/>
  <c r="AE30" i="1"/>
  <c r="AA30" i="1" s="1"/>
  <c r="J30" i="1"/>
  <c r="K30" i="1"/>
  <c r="AC30" i="1"/>
  <c r="AD30" i="1"/>
  <c r="Z30" i="1" s="1"/>
  <c r="W77" i="1" l="1"/>
  <c r="X77" i="1"/>
  <c r="U78" i="1"/>
  <c r="AG30" i="1"/>
  <c r="AB30" i="1"/>
  <c r="AF30" i="1"/>
  <c r="N30" i="1" s="1"/>
  <c r="U79" i="1" l="1"/>
  <c r="X78" i="1"/>
  <c r="W78" i="1"/>
  <c r="P30" i="1"/>
  <c r="Q30" i="1" s="1"/>
  <c r="O30" i="1"/>
  <c r="M30" i="1"/>
  <c r="Y31" i="1"/>
  <c r="W79" i="1" l="1"/>
  <c r="U80" i="1"/>
  <c r="X79" i="1"/>
  <c r="AD31" i="1"/>
  <c r="Z31" i="1" s="1"/>
  <c r="J31" i="1"/>
  <c r="K31" i="1"/>
  <c r="AC31" i="1"/>
  <c r="AE31" i="1"/>
  <c r="AA31" i="1" s="1"/>
  <c r="X80" i="1" l="1"/>
  <c r="U81" i="1"/>
  <c r="W80" i="1"/>
  <c r="AB31" i="1"/>
  <c r="AG31" i="1"/>
  <c r="AF31" i="1"/>
  <c r="N31" i="1" s="1"/>
  <c r="U82" i="1" l="1"/>
  <c r="W81" i="1"/>
  <c r="X81" i="1"/>
  <c r="O31" i="1"/>
  <c r="P31" i="1"/>
  <c r="Q31" i="1" s="1"/>
  <c r="M31" i="1"/>
  <c r="Y32" i="1"/>
  <c r="W82" i="1" l="1"/>
  <c r="U83" i="1"/>
  <c r="X82" i="1"/>
  <c r="J32" i="1"/>
  <c r="K32" i="1"/>
  <c r="AD32" i="1"/>
  <c r="Z32" i="1" s="1"/>
  <c r="AE32" i="1"/>
  <c r="AA32" i="1" s="1"/>
  <c r="AC32" i="1"/>
  <c r="W83" i="1" l="1"/>
  <c r="X83" i="1"/>
  <c r="U84" i="1"/>
  <c r="AB32" i="1"/>
  <c r="AG32" i="1"/>
  <c r="AF32" i="1"/>
  <c r="N32" i="1" s="1"/>
  <c r="X84" i="1" l="1"/>
  <c r="U85" i="1"/>
  <c r="W84" i="1"/>
  <c r="O32" i="1"/>
  <c r="P32" i="1"/>
  <c r="Q32" i="1" s="1"/>
  <c r="M32" i="1"/>
  <c r="Y33" i="1"/>
  <c r="U86" i="1" l="1"/>
  <c r="W85" i="1"/>
  <c r="X85" i="1"/>
  <c r="AE33" i="1"/>
  <c r="AA33" i="1" s="1"/>
  <c r="K33" i="1"/>
  <c r="J33" i="1"/>
  <c r="AD33" i="1"/>
  <c r="Z33" i="1" s="1"/>
  <c r="AC33" i="1"/>
  <c r="X86" i="1" l="1"/>
  <c r="U87" i="1"/>
  <c r="W86" i="1"/>
  <c r="AB33" i="1"/>
  <c r="AG33" i="1"/>
  <c r="AF33" i="1"/>
  <c r="N33" i="1" s="1"/>
  <c r="W87" i="1" l="1"/>
  <c r="X87" i="1"/>
  <c r="U88" i="1"/>
  <c r="P33" i="1"/>
  <c r="Q33" i="1" s="1"/>
  <c r="O33" i="1"/>
  <c r="Y34" i="1"/>
  <c r="M33" i="1"/>
  <c r="X88" i="1" l="1"/>
  <c r="U89" i="1"/>
  <c r="W88" i="1"/>
  <c r="AD34" i="1"/>
  <c r="Z34" i="1" s="1"/>
  <c r="K34" i="1"/>
  <c r="J34" i="1"/>
  <c r="AC34" i="1"/>
  <c r="AE34" i="1"/>
  <c r="AA34" i="1" s="1"/>
  <c r="X89" i="1" l="1"/>
  <c r="W89" i="1"/>
  <c r="U90" i="1"/>
  <c r="AB34" i="1"/>
  <c r="AG34" i="1"/>
  <c r="AF34" i="1"/>
  <c r="N34" i="1" s="1"/>
  <c r="W90" i="1" l="1"/>
  <c r="X90" i="1"/>
  <c r="U91" i="1"/>
  <c r="O34" i="1"/>
  <c r="P34" i="1"/>
  <c r="Q34" i="1" s="1"/>
  <c r="Y35" i="1"/>
  <c r="M34" i="1"/>
  <c r="U92" i="1" l="1"/>
  <c r="X91" i="1"/>
  <c r="W91" i="1"/>
  <c r="AE35" i="1"/>
  <c r="AA35" i="1" s="1"/>
  <c r="J35" i="1"/>
  <c r="K35" i="1"/>
  <c r="AC35" i="1"/>
  <c r="AD35" i="1"/>
  <c r="Z35" i="1" s="1"/>
  <c r="W92" i="1" l="1"/>
  <c r="X92" i="1"/>
  <c r="U93" i="1"/>
  <c r="AB35" i="1"/>
  <c r="AG35" i="1"/>
  <c r="AF35" i="1"/>
  <c r="N35" i="1" s="1"/>
  <c r="W93" i="1" l="1"/>
  <c r="X93" i="1"/>
  <c r="U94" i="1"/>
  <c r="P35" i="1"/>
  <c r="Q35" i="1" s="1"/>
  <c r="O35" i="1"/>
  <c r="M35" i="1"/>
  <c r="Y36" i="1"/>
  <c r="W94" i="1" l="1"/>
  <c r="U95" i="1"/>
  <c r="X94" i="1"/>
  <c r="AC36" i="1"/>
  <c r="J36" i="1"/>
  <c r="K36" i="1"/>
  <c r="AE36" i="1"/>
  <c r="AA36" i="1" s="1"/>
  <c r="AD36" i="1"/>
  <c r="Z36" i="1" s="1"/>
  <c r="X95" i="1" l="1"/>
  <c r="U96" i="1"/>
  <c r="W95" i="1"/>
  <c r="AG36" i="1"/>
  <c r="AB36" i="1"/>
  <c r="AF36" i="1"/>
  <c r="N36" i="1" s="1"/>
  <c r="W96" i="1" l="1"/>
  <c r="X96" i="1"/>
  <c r="U97" i="1"/>
  <c r="O36" i="1"/>
  <c r="P36" i="1"/>
  <c r="Q36" i="1" s="1"/>
  <c r="Y37" i="1"/>
  <c r="M36" i="1"/>
  <c r="X97" i="1" l="1"/>
  <c r="W97" i="1"/>
  <c r="U98" i="1"/>
  <c r="AC37" i="1"/>
  <c r="K37" i="1"/>
  <c r="J37" i="1"/>
  <c r="AD37" i="1"/>
  <c r="Z37" i="1" s="1"/>
  <c r="AE37" i="1"/>
  <c r="AA37" i="1" s="1"/>
  <c r="U99" i="1" l="1"/>
  <c r="X98" i="1"/>
  <c r="W98" i="1"/>
  <c r="AB37" i="1"/>
  <c r="AG37" i="1"/>
  <c r="AF37" i="1"/>
  <c r="N37" i="1" s="1"/>
  <c r="W99" i="1" l="1"/>
  <c r="X99" i="1"/>
  <c r="U100" i="1"/>
  <c r="O37" i="1"/>
  <c r="P37" i="1"/>
  <c r="Q37" i="1" s="1"/>
  <c r="M37" i="1"/>
  <c r="Y38" i="1"/>
  <c r="X100" i="1" l="1"/>
  <c r="W100" i="1"/>
  <c r="U101" i="1"/>
  <c r="AD38" i="1"/>
  <c r="Z38" i="1" s="1"/>
  <c r="J38" i="1"/>
  <c r="K38" i="1"/>
  <c r="AE38" i="1"/>
  <c r="AA38" i="1" s="1"/>
  <c r="AC38" i="1"/>
  <c r="X101" i="1" l="1"/>
  <c r="U102" i="1"/>
  <c r="W101" i="1"/>
  <c r="AB38" i="1"/>
  <c r="AG38" i="1"/>
  <c r="AF38" i="1"/>
  <c r="N38" i="1" s="1"/>
  <c r="W102" i="1" l="1"/>
  <c r="X102" i="1"/>
  <c r="U103" i="1"/>
  <c r="P38" i="1"/>
  <c r="Q38" i="1" s="1"/>
  <c r="O38" i="1"/>
  <c r="M38" i="1"/>
  <c r="Y39" i="1"/>
  <c r="U104" i="1" l="1"/>
  <c r="W103" i="1"/>
  <c r="X103" i="1"/>
  <c r="AD39" i="1"/>
  <c r="Z39" i="1" s="1"/>
  <c r="J39" i="1"/>
  <c r="K39" i="1"/>
  <c r="AE39" i="1"/>
  <c r="AA39" i="1" s="1"/>
  <c r="AC39" i="1"/>
  <c r="W104" i="1" l="1"/>
  <c r="X104" i="1"/>
  <c r="U105" i="1"/>
  <c r="AB39" i="1"/>
  <c r="AG39" i="1"/>
  <c r="AF39" i="1"/>
  <c r="N39" i="1" s="1"/>
  <c r="W105" i="1" l="1"/>
  <c r="X105" i="1"/>
  <c r="U106" i="1"/>
  <c r="O39" i="1"/>
  <c r="P39" i="1"/>
  <c r="Q39" i="1" s="1"/>
  <c r="M39" i="1"/>
  <c r="Y40" i="1"/>
  <c r="X106" i="1" l="1"/>
  <c r="U107" i="1"/>
  <c r="W106" i="1"/>
  <c r="AE40" i="1"/>
  <c r="AA40" i="1" s="1"/>
  <c r="K40" i="1"/>
  <c r="J40" i="1"/>
  <c r="AD40" i="1"/>
  <c r="Z40" i="1" s="1"/>
  <c r="AC40" i="1"/>
  <c r="W107" i="1" l="1"/>
  <c r="X107" i="1"/>
  <c r="AB40" i="1"/>
  <c r="AG40" i="1"/>
  <c r="AF40" i="1"/>
  <c r="N40" i="1" s="1"/>
  <c r="P40" i="1" l="1"/>
  <c r="Q40" i="1" s="1"/>
  <c r="O40" i="1"/>
  <c r="Y41" i="1"/>
  <c r="M40" i="1"/>
  <c r="AD41" i="1" l="1"/>
  <c r="Z41" i="1" s="1"/>
  <c r="K41" i="1"/>
  <c r="J41" i="1"/>
  <c r="AE41" i="1"/>
  <c r="AA41" i="1" s="1"/>
  <c r="AC41" i="1"/>
  <c r="AB41" i="1" l="1"/>
  <c r="AG41" i="1"/>
  <c r="AF41" i="1"/>
  <c r="N41" i="1" s="1"/>
  <c r="O41" i="1" l="1"/>
  <c r="P41" i="1"/>
  <c r="Q41" i="1" s="1"/>
  <c r="Y42" i="1"/>
  <c r="M41" i="1"/>
  <c r="AE42" i="1" l="1"/>
  <c r="AA42" i="1" s="1"/>
  <c r="K42" i="1"/>
  <c r="J42" i="1"/>
  <c r="AD42" i="1"/>
  <c r="Z42" i="1" s="1"/>
  <c r="AC42" i="1"/>
  <c r="AB42" i="1" l="1"/>
  <c r="AG42" i="1"/>
  <c r="AF42" i="1"/>
  <c r="N42" i="1" s="1"/>
  <c r="O42" i="1" l="1"/>
  <c r="P42" i="1"/>
  <c r="Q42" i="1" s="1"/>
  <c r="M42" i="1"/>
  <c r="Y43" i="1"/>
  <c r="AE43" i="1" l="1"/>
  <c r="AA43" i="1" s="1"/>
  <c r="J43" i="1"/>
  <c r="K43" i="1"/>
  <c r="AC43" i="1"/>
  <c r="AD43" i="1"/>
  <c r="Z43" i="1" s="1"/>
  <c r="AB43" i="1" l="1"/>
  <c r="AG43" i="1"/>
  <c r="AF43" i="1"/>
  <c r="N43" i="1" s="1"/>
  <c r="P43" i="1" l="1"/>
  <c r="Q43" i="1" s="1"/>
  <c r="O43" i="1"/>
  <c r="M43" i="1"/>
  <c r="Y44" i="1"/>
  <c r="AE44" i="1" l="1"/>
  <c r="AA44" i="1" s="1"/>
  <c r="J44" i="1"/>
  <c r="K44" i="1"/>
  <c r="AC44" i="1"/>
  <c r="AD44" i="1"/>
  <c r="Z44" i="1" s="1"/>
  <c r="AB44" i="1" l="1"/>
  <c r="AG44" i="1"/>
  <c r="AF44" i="1"/>
  <c r="N44" i="1" s="1"/>
  <c r="O44" i="1" l="1"/>
  <c r="P44" i="1"/>
  <c r="Q44" i="1" s="1"/>
  <c r="Y45" i="1"/>
  <c r="M44" i="1"/>
  <c r="AD45" i="1" l="1"/>
  <c r="Z45" i="1" s="1"/>
  <c r="J45" i="1"/>
  <c r="K45" i="1"/>
  <c r="AE45" i="1"/>
  <c r="AA45" i="1" s="1"/>
  <c r="AC45" i="1"/>
  <c r="AB45" i="1" l="1"/>
  <c r="AG45" i="1"/>
  <c r="AF45" i="1"/>
  <c r="N45" i="1" s="1"/>
  <c r="P45" i="1" l="1"/>
  <c r="Q45" i="1" s="1"/>
  <c r="O45" i="1"/>
  <c r="Y46" i="1"/>
  <c r="M45" i="1"/>
  <c r="AE46" i="1" l="1"/>
  <c r="AA46" i="1" s="1"/>
  <c r="J46" i="1"/>
  <c r="K46" i="1"/>
  <c r="AC46" i="1"/>
  <c r="AD46" i="1"/>
  <c r="Z46" i="1" s="1"/>
  <c r="AG46" i="1" l="1"/>
  <c r="AB46" i="1"/>
  <c r="AF46" i="1"/>
  <c r="N46" i="1" s="1"/>
  <c r="O46" i="1" l="1"/>
  <c r="P46" i="1"/>
  <c r="Q46" i="1" s="1"/>
  <c r="M46" i="1"/>
  <c r="Y47" i="1"/>
  <c r="AE47" i="1" l="1"/>
  <c r="AA47" i="1" s="1"/>
  <c r="J47" i="1"/>
  <c r="K47" i="1"/>
  <c r="AC47" i="1"/>
  <c r="AD47" i="1"/>
  <c r="Z47" i="1" s="1"/>
  <c r="AG47" i="1" l="1"/>
  <c r="AB47" i="1"/>
  <c r="AF47" i="1"/>
  <c r="N47" i="1" s="1"/>
  <c r="P47" i="1" l="1"/>
  <c r="Q47" i="1" s="1"/>
  <c r="O47" i="1"/>
  <c r="Y48" i="1"/>
  <c r="M47" i="1"/>
  <c r="AE48" i="1" l="1"/>
  <c r="AA48" i="1" s="1"/>
  <c r="J48" i="1"/>
  <c r="K48" i="1"/>
  <c r="AC48" i="1"/>
  <c r="AD48" i="1"/>
  <c r="Z48" i="1" s="1"/>
  <c r="AG48" i="1" l="1"/>
  <c r="AB48" i="1"/>
  <c r="AF48" i="1"/>
  <c r="N48" i="1" s="1"/>
  <c r="O48" i="1" l="1"/>
  <c r="P48" i="1"/>
  <c r="Q48" i="1" s="1"/>
  <c r="Y49" i="1"/>
  <c r="M48" i="1"/>
  <c r="AD49" i="1" l="1"/>
  <c r="Z49" i="1" s="1"/>
  <c r="AE49" i="1"/>
  <c r="AA49" i="1" s="1"/>
  <c r="K49" i="1"/>
  <c r="J49" i="1"/>
  <c r="AC49" i="1"/>
  <c r="AG49" i="1" l="1"/>
  <c r="AB49" i="1"/>
  <c r="AF49" i="1"/>
  <c r="N49" i="1" s="1"/>
  <c r="P49" i="1" l="1"/>
  <c r="Q49" i="1" s="1"/>
  <c r="O49" i="1"/>
  <c r="Y50" i="1"/>
  <c r="M49" i="1"/>
  <c r="AE50" i="1" l="1"/>
  <c r="AA50" i="1" s="1"/>
  <c r="K50" i="1"/>
  <c r="AC50" i="1"/>
  <c r="J50" i="1"/>
  <c r="AD50" i="1"/>
  <c r="Z50" i="1" s="1"/>
  <c r="AG50" i="1" l="1"/>
  <c r="AB50" i="1"/>
  <c r="AF50" i="1"/>
  <c r="N50" i="1" s="1"/>
  <c r="O50" i="1" l="1"/>
  <c r="P50" i="1"/>
  <c r="Q50" i="1" s="1"/>
  <c r="Y51" i="1"/>
  <c r="M50" i="1"/>
  <c r="AD51" i="1" l="1"/>
  <c r="Z51" i="1" s="1"/>
  <c r="K51" i="1"/>
  <c r="J51" i="1"/>
  <c r="AC51" i="1"/>
  <c r="AE51" i="1"/>
  <c r="AA51" i="1" s="1"/>
  <c r="AG51" i="1" l="1"/>
  <c r="AB51" i="1"/>
  <c r="AF51" i="1"/>
  <c r="N51" i="1" s="1"/>
  <c r="P51" i="1" l="1"/>
  <c r="Q51" i="1" s="1"/>
  <c r="O51" i="1"/>
  <c r="Y52" i="1"/>
  <c r="M51" i="1"/>
  <c r="AD52" i="1" l="1"/>
  <c r="Z52" i="1" s="1"/>
  <c r="K52" i="1"/>
  <c r="J52" i="1"/>
  <c r="AC52" i="1"/>
  <c r="AE52" i="1"/>
  <c r="AA52" i="1" s="1"/>
  <c r="AG52" i="1" l="1"/>
  <c r="AB52" i="1"/>
  <c r="AF52" i="1"/>
  <c r="N52" i="1" s="1"/>
  <c r="P52" i="1" l="1"/>
  <c r="Q52" i="1" s="1"/>
  <c r="O52" i="1"/>
  <c r="Y53" i="1"/>
  <c r="M52" i="1"/>
  <c r="AD53" i="1" l="1"/>
  <c r="Z53" i="1" s="1"/>
  <c r="J53" i="1"/>
  <c r="K53" i="1"/>
  <c r="AE53" i="1"/>
  <c r="AA53" i="1" s="1"/>
  <c r="AC53" i="1"/>
  <c r="AG53" i="1" l="1"/>
  <c r="AB53" i="1"/>
  <c r="AF53" i="1"/>
  <c r="N53" i="1" s="1"/>
  <c r="O53" i="1" l="1"/>
  <c r="P53" i="1"/>
  <c r="Q53" i="1" s="1"/>
  <c r="Y54" i="1"/>
  <c r="M53" i="1"/>
  <c r="AE54" i="1" l="1"/>
  <c r="AA54" i="1" s="1"/>
  <c r="AD54" i="1"/>
  <c r="Z54" i="1" s="1"/>
  <c r="J54" i="1"/>
  <c r="K54" i="1"/>
  <c r="AC54" i="1"/>
  <c r="AG54" i="1" l="1"/>
  <c r="AB54" i="1"/>
  <c r="AF54" i="1"/>
  <c r="N54" i="1" s="1"/>
  <c r="O54" i="1" l="1"/>
  <c r="P54" i="1"/>
  <c r="Q54" i="1" s="1"/>
  <c r="Y55" i="1"/>
  <c r="M54" i="1"/>
  <c r="AE55" i="1" l="1"/>
  <c r="AA55" i="1" s="1"/>
  <c r="J55" i="1"/>
  <c r="K55" i="1"/>
  <c r="AC55" i="1"/>
  <c r="AD55" i="1"/>
  <c r="Z55" i="1" s="1"/>
  <c r="AG55" i="1" l="1"/>
  <c r="AB55" i="1"/>
  <c r="AF55" i="1"/>
  <c r="N55" i="1" s="1"/>
  <c r="P55" i="1" l="1"/>
  <c r="Q55" i="1" s="1"/>
  <c r="O55" i="1"/>
  <c r="Y56" i="1"/>
  <c r="M55" i="1"/>
  <c r="AD56" i="1" l="1"/>
  <c r="Z56" i="1" s="1"/>
  <c r="J56" i="1"/>
  <c r="K56" i="1"/>
  <c r="AC56" i="1"/>
  <c r="AE56" i="1"/>
  <c r="AA56" i="1" s="1"/>
  <c r="AG56" i="1" l="1"/>
  <c r="AB56" i="1"/>
  <c r="AF56" i="1"/>
  <c r="N56" i="1" s="1"/>
  <c r="P56" i="1" l="1"/>
  <c r="Q56" i="1" s="1"/>
  <c r="O56" i="1"/>
  <c r="Y57" i="1"/>
  <c r="M56" i="1"/>
  <c r="AE57" i="1" l="1"/>
  <c r="AA57" i="1" s="1"/>
  <c r="K57" i="1"/>
  <c r="J57" i="1"/>
  <c r="AD57" i="1"/>
  <c r="Z57" i="1" s="1"/>
  <c r="AC57" i="1"/>
  <c r="AG57" i="1" l="1"/>
  <c r="AB57" i="1"/>
  <c r="AF57" i="1"/>
  <c r="N57" i="1" s="1"/>
  <c r="O57" i="1" l="1"/>
  <c r="P57" i="1"/>
  <c r="Q57" i="1" s="1"/>
  <c r="Y58" i="1"/>
  <c r="M57" i="1"/>
  <c r="AC58" i="1" l="1"/>
  <c r="K58" i="1"/>
  <c r="J58" i="1"/>
  <c r="AE58" i="1"/>
  <c r="AA58" i="1" s="1"/>
  <c r="AD58" i="1"/>
  <c r="Z58" i="1" s="1"/>
  <c r="AG58" i="1" l="1"/>
  <c r="AB58" i="1"/>
  <c r="AF58" i="1"/>
  <c r="N58" i="1" s="1"/>
  <c r="P58" i="1" l="1"/>
  <c r="Q58" i="1" s="1"/>
  <c r="O58" i="1"/>
  <c r="Y59" i="1"/>
  <c r="M58" i="1"/>
  <c r="AD59" i="1" l="1"/>
  <c r="Z59" i="1" s="1"/>
  <c r="K59" i="1"/>
  <c r="J59" i="1"/>
  <c r="AC59" i="1"/>
  <c r="AE59" i="1"/>
  <c r="AA59" i="1" s="1"/>
  <c r="AG59" i="1" l="1"/>
  <c r="AB59" i="1"/>
  <c r="AF59" i="1"/>
  <c r="N59" i="1" s="1"/>
  <c r="O59" i="1" l="1"/>
  <c r="P59" i="1"/>
  <c r="Q59" i="1" s="1"/>
  <c r="M59" i="1"/>
  <c r="Y60" i="1"/>
  <c r="AC60" i="1" l="1"/>
  <c r="K60" i="1"/>
  <c r="J60" i="1"/>
  <c r="AD60" i="1"/>
  <c r="Z60" i="1" s="1"/>
  <c r="AE60" i="1"/>
  <c r="AA60" i="1" s="1"/>
  <c r="AG60" i="1" l="1"/>
  <c r="AB60" i="1"/>
  <c r="AF60" i="1"/>
  <c r="N60" i="1" s="1"/>
  <c r="P60" i="1" l="1"/>
  <c r="Q60" i="1" s="1"/>
  <c r="O60" i="1"/>
  <c r="M60" i="1"/>
  <c r="Y61" i="1"/>
  <c r="AD61" i="1" l="1"/>
  <c r="Z61" i="1" s="1"/>
  <c r="J61" i="1"/>
  <c r="AE61" i="1"/>
  <c r="AA61" i="1" s="1"/>
  <c r="K61" i="1"/>
  <c r="AC61" i="1"/>
  <c r="AB61" i="1" l="1"/>
  <c r="AG61" i="1"/>
  <c r="AF61" i="1"/>
  <c r="N61" i="1" s="1"/>
  <c r="P61" i="1" l="1"/>
  <c r="Q61" i="1" s="1"/>
  <c r="O61" i="1"/>
  <c r="M61" i="1"/>
  <c r="Y62" i="1"/>
  <c r="AC62" i="1" l="1"/>
  <c r="J62" i="1"/>
  <c r="K62" i="1"/>
  <c r="AD62" i="1"/>
  <c r="Z62" i="1" s="1"/>
  <c r="AE62" i="1"/>
  <c r="AA62" i="1" s="1"/>
  <c r="AB62" i="1" l="1"/>
  <c r="AG62" i="1"/>
  <c r="AF62" i="1"/>
  <c r="N62" i="1" s="1"/>
  <c r="O62" i="1" l="1"/>
  <c r="P62" i="1"/>
  <c r="Q62" i="1" s="1"/>
  <c r="Y63" i="1"/>
  <c r="M62" i="1"/>
  <c r="AD63" i="1" l="1"/>
  <c r="Z63" i="1" s="1"/>
  <c r="J63" i="1"/>
  <c r="K63" i="1"/>
  <c r="AE63" i="1"/>
  <c r="AA63" i="1" s="1"/>
  <c r="AC63" i="1"/>
  <c r="AB63" i="1" l="1"/>
  <c r="AG63" i="1"/>
  <c r="AF63" i="1"/>
  <c r="N63" i="1" s="1"/>
  <c r="O63" i="1" l="1"/>
  <c r="P63" i="1"/>
  <c r="Q63" i="1" s="1"/>
  <c r="M63" i="1"/>
  <c r="Y64" i="1"/>
  <c r="J64" i="1" l="1"/>
  <c r="K64" i="1"/>
  <c r="AD64" i="1"/>
  <c r="Z64" i="1" s="1"/>
  <c r="AC64" i="1"/>
  <c r="AE64" i="1"/>
  <c r="AA64" i="1" s="1"/>
  <c r="AB64" i="1" l="1"/>
  <c r="AG64" i="1"/>
  <c r="AF64" i="1"/>
  <c r="N64" i="1" s="1"/>
  <c r="O64" i="1" l="1"/>
  <c r="P64" i="1"/>
  <c r="Q64" i="1" s="1"/>
  <c r="Y65" i="1"/>
  <c r="M64" i="1"/>
  <c r="AC65" i="1" l="1"/>
  <c r="K65" i="1"/>
  <c r="J65" i="1"/>
  <c r="AD65" i="1"/>
  <c r="Z65" i="1" s="1"/>
  <c r="AE65" i="1"/>
  <c r="AA65" i="1" s="1"/>
  <c r="AG65" i="1" l="1"/>
  <c r="AB65" i="1"/>
  <c r="AF65" i="1"/>
  <c r="N65" i="1" s="1"/>
  <c r="O65" i="1" l="1"/>
  <c r="P65" i="1"/>
  <c r="Q65" i="1" s="1"/>
  <c r="Y66" i="1"/>
  <c r="M65" i="1"/>
  <c r="AE66" i="1" l="1"/>
  <c r="AA66" i="1" s="1"/>
  <c r="J66" i="1"/>
  <c r="AC66" i="1"/>
  <c r="AD66" i="1"/>
  <c r="Z66" i="1" s="1"/>
  <c r="K66" i="1"/>
  <c r="AB66" i="1" l="1"/>
  <c r="AG66" i="1"/>
  <c r="AF66" i="1"/>
  <c r="N66" i="1" s="1"/>
  <c r="P66" i="1" l="1"/>
  <c r="Q66" i="1" s="1"/>
  <c r="O66" i="1"/>
  <c r="Y67" i="1"/>
  <c r="M66" i="1"/>
  <c r="J67" i="1" l="1"/>
  <c r="K67" i="1"/>
  <c r="AE67" i="1"/>
  <c r="AA67" i="1" s="1"/>
  <c r="AC67" i="1"/>
  <c r="AD67" i="1"/>
  <c r="Z67" i="1" s="1"/>
  <c r="AB67" i="1" l="1"/>
  <c r="AG67" i="1"/>
  <c r="AF67" i="1"/>
  <c r="N67" i="1" s="1"/>
  <c r="P67" i="1" l="1"/>
  <c r="Q67" i="1" s="1"/>
  <c r="O67" i="1"/>
  <c r="M67" i="1"/>
  <c r="Y68" i="1"/>
  <c r="AD68" i="1" l="1"/>
  <c r="Z68" i="1" s="1"/>
  <c r="J68" i="1"/>
  <c r="K68" i="1"/>
  <c r="AC68" i="1"/>
  <c r="AE68" i="1"/>
  <c r="AA68" i="1" s="1"/>
  <c r="AB68" i="1" l="1"/>
  <c r="AG68" i="1"/>
  <c r="AF68" i="1"/>
  <c r="N68" i="1" s="1"/>
  <c r="O68" i="1" l="1"/>
  <c r="P68" i="1"/>
  <c r="Q68" i="1" s="1"/>
  <c r="Y69" i="1"/>
  <c r="M68" i="1"/>
  <c r="AE69" i="1" l="1"/>
  <c r="AA69" i="1" s="1"/>
  <c r="J69" i="1"/>
  <c r="AC69" i="1"/>
  <c r="K69" i="1"/>
  <c r="AD69" i="1"/>
  <c r="Z69" i="1" s="1"/>
  <c r="AB69" i="1" l="1"/>
  <c r="AG69" i="1"/>
  <c r="AF69" i="1"/>
  <c r="N69" i="1" s="1"/>
  <c r="P69" i="1" l="1"/>
  <c r="Q69" i="1" s="1"/>
  <c r="O69" i="1"/>
  <c r="Y70" i="1"/>
  <c r="M69" i="1"/>
  <c r="AE70" i="1" l="1"/>
  <c r="AA70" i="1" s="1"/>
  <c r="J70" i="1"/>
  <c r="AD70" i="1"/>
  <c r="Z70" i="1" s="1"/>
  <c r="K70" i="1"/>
  <c r="AC70" i="1"/>
  <c r="AB70" i="1" l="1"/>
  <c r="AG70" i="1"/>
  <c r="AF70" i="1"/>
  <c r="N70" i="1" s="1"/>
  <c r="O70" i="1" l="1"/>
  <c r="P70" i="1"/>
  <c r="Q70" i="1" s="1"/>
  <c r="Y71" i="1"/>
  <c r="M70" i="1"/>
  <c r="AC71" i="1" l="1"/>
  <c r="J71" i="1"/>
  <c r="K71" i="1"/>
  <c r="AD71" i="1"/>
  <c r="Z71" i="1" s="1"/>
  <c r="AE71" i="1"/>
  <c r="AA71" i="1" s="1"/>
  <c r="AB71" i="1" l="1"/>
  <c r="AG71" i="1"/>
  <c r="AF71" i="1"/>
  <c r="N71" i="1" s="1"/>
  <c r="P71" i="1" l="1"/>
  <c r="Q71" i="1" s="1"/>
  <c r="O71" i="1"/>
  <c r="M71" i="1"/>
  <c r="Y72" i="1"/>
  <c r="AD72" i="1" l="1"/>
  <c r="Z72" i="1" s="1"/>
  <c r="K72" i="1"/>
  <c r="J72" i="1"/>
  <c r="AC72" i="1"/>
  <c r="AE72" i="1"/>
  <c r="AA72" i="1" s="1"/>
  <c r="AB72" i="1" l="1"/>
  <c r="AG72" i="1"/>
  <c r="AF72" i="1"/>
  <c r="N72" i="1" s="1"/>
  <c r="O72" i="1" l="1"/>
  <c r="P72" i="1"/>
  <c r="Q72" i="1" s="1"/>
  <c r="M72" i="1"/>
  <c r="Y73" i="1"/>
  <c r="K73" i="1" l="1"/>
  <c r="J73" i="1"/>
  <c r="AC73" i="1"/>
  <c r="AD73" i="1"/>
  <c r="Z73" i="1" s="1"/>
  <c r="AE73" i="1"/>
  <c r="AA73" i="1" s="1"/>
  <c r="AB73" i="1" l="1"/>
  <c r="AG73" i="1"/>
  <c r="AF73" i="1"/>
  <c r="N73" i="1" s="1"/>
  <c r="P73" i="1" l="1"/>
  <c r="Q73" i="1" s="1"/>
  <c r="O73" i="1"/>
  <c r="Y74" i="1"/>
  <c r="M73" i="1"/>
  <c r="K74" i="1" l="1"/>
  <c r="J74" i="1"/>
  <c r="AE74" i="1"/>
  <c r="AA74" i="1" s="1"/>
  <c r="AD74" i="1"/>
  <c r="Z74" i="1" s="1"/>
  <c r="AC74" i="1"/>
  <c r="AB74" i="1" l="1"/>
  <c r="AG74" i="1"/>
  <c r="AF74" i="1"/>
  <c r="N74" i="1" s="1"/>
  <c r="O74" i="1" l="1"/>
  <c r="P74" i="1"/>
  <c r="Q74" i="1" s="1"/>
  <c r="Y75" i="1"/>
  <c r="M74" i="1"/>
  <c r="J75" i="1" l="1"/>
  <c r="K75" i="1"/>
  <c r="AC75" i="1"/>
  <c r="AE75" i="1"/>
  <c r="AA75" i="1" s="1"/>
  <c r="AD75" i="1"/>
  <c r="Z75" i="1" s="1"/>
  <c r="AB75" i="1" l="1"/>
  <c r="AG75" i="1"/>
  <c r="AF75" i="1"/>
  <c r="N75" i="1" s="1"/>
  <c r="P75" i="1" l="1"/>
  <c r="Q75" i="1" s="1"/>
  <c r="O75" i="1"/>
  <c r="Y76" i="1"/>
  <c r="M75" i="1"/>
  <c r="J76" i="1" l="1"/>
  <c r="K76" i="1"/>
  <c r="AE76" i="1"/>
  <c r="AA76" i="1" s="1"/>
  <c r="AD76" i="1"/>
  <c r="Z76" i="1" s="1"/>
  <c r="AC76" i="1"/>
  <c r="AB76" i="1" l="1"/>
  <c r="AG76" i="1"/>
  <c r="AF76" i="1"/>
  <c r="N76" i="1" s="1"/>
  <c r="O76" i="1" l="1"/>
  <c r="P76" i="1"/>
  <c r="Q76" i="1" s="1"/>
  <c r="Y77" i="1"/>
  <c r="M76" i="1"/>
  <c r="AD77" i="1" l="1"/>
  <c r="Z77" i="1" s="1"/>
  <c r="J77" i="1"/>
  <c r="K77" i="1"/>
  <c r="AE77" i="1"/>
  <c r="AA77" i="1" s="1"/>
  <c r="AC77" i="1"/>
  <c r="AB77" i="1" l="1"/>
  <c r="AG77" i="1"/>
  <c r="AF77" i="1"/>
  <c r="N77" i="1" s="1"/>
  <c r="O77" i="1" l="1"/>
  <c r="P77" i="1"/>
  <c r="Q77" i="1" s="1"/>
  <c r="Y78" i="1"/>
  <c r="M77" i="1"/>
  <c r="J78" i="1" l="1"/>
  <c r="K78" i="1"/>
  <c r="AD78" i="1"/>
  <c r="Z78" i="1" s="1"/>
  <c r="AE78" i="1"/>
  <c r="AA78" i="1" s="1"/>
  <c r="AC78" i="1"/>
  <c r="AB78" i="1" l="1"/>
  <c r="AG78" i="1"/>
  <c r="AF78" i="1"/>
  <c r="N78" i="1" s="1"/>
  <c r="O78" i="1" l="1"/>
  <c r="P78" i="1"/>
  <c r="Q78" i="1" s="1"/>
  <c r="Y79" i="1"/>
  <c r="M78" i="1"/>
  <c r="J79" i="1" l="1"/>
  <c r="K79" i="1"/>
  <c r="AE79" i="1"/>
  <c r="AA79" i="1" s="1"/>
  <c r="AD79" i="1"/>
  <c r="Z79" i="1" s="1"/>
  <c r="AC79" i="1"/>
  <c r="AB79" i="1" l="1"/>
  <c r="AG79" i="1"/>
  <c r="AF79" i="1"/>
  <c r="N79" i="1" s="1"/>
  <c r="P79" i="1" l="1"/>
  <c r="Q79" i="1" s="1"/>
  <c r="O79" i="1"/>
  <c r="Y80" i="1"/>
  <c r="M79" i="1"/>
  <c r="AD80" i="1" l="1"/>
  <c r="Z80" i="1" s="1"/>
  <c r="J80" i="1"/>
  <c r="AE80" i="1"/>
  <c r="AA80" i="1" s="1"/>
  <c r="AC80" i="1"/>
  <c r="K80" i="1"/>
  <c r="AG80" i="1" l="1"/>
  <c r="AB80" i="1"/>
  <c r="AF80" i="1"/>
  <c r="N80" i="1" s="1"/>
  <c r="O80" i="1" l="1"/>
  <c r="P80" i="1"/>
  <c r="Q80" i="1" s="1"/>
  <c r="Y81" i="1"/>
  <c r="M80" i="1"/>
  <c r="K81" i="1" l="1"/>
  <c r="AE81" i="1"/>
  <c r="AA81" i="1" s="1"/>
  <c r="J81" i="1"/>
  <c r="AD81" i="1"/>
  <c r="Z81" i="1" s="1"/>
  <c r="AC81" i="1"/>
  <c r="AB81" i="1" l="1"/>
  <c r="AG81" i="1"/>
  <c r="AF81" i="1"/>
  <c r="N81" i="1" s="1"/>
  <c r="P81" i="1" l="1"/>
  <c r="Q81" i="1" s="1"/>
  <c r="O81" i="1"/>
  <c r="Y82" i="1"/>
  <c r="M81" i="1"/>
  <c r="AE82" i="1" l="1"/>
  <c r="AA82" i="1" s="1"/>
  <c r="K82" i="1"/>
  <c r="J82" i="1"/>
  <c r="AD82" i="1"/>
  <c r="Z82" i="1" s="1"/>
  <c r="AC82" i="1"/>
  <c r="AB82" i="1" l="1"/>
  <c r="AG82" i="1"/>
  <c r="AF82" i="1"/>
  <c r="N82" i="1" s="1"/>
  <c r="O82" i="1" l="1"/>
  <c r="P82" i="1"/>
  <c r="Q82" i="1" s="1"/>
  <c r="Y83" i="1"/>
  <c r="M82" i="1"/>
  <c r="K83" i="1" l="1"/>
  <c r="J83" i="1"/>
  <c r="AE83" i="1"/>
  <c r="AA83" i="1" s="1"/>
  <c r="AC83" i="1"/>
  <c r="AD83" i="1"/>
  <c r="Z83" i="1" s="1"/>
  <c r="AB83" i="1" l="1"/>
  <c r="AG83" i="1"/>
  <c r="AF83" i="1"/>
  <c r="N83" i="1" s="1"/>
  <c r="O83" i="1" l="1"/>
  <c r="P83" i="1"/>
  <c r="Q83" i="1" s="1"/>
  <c r="Y84" i="1"/>
  <c r="M83" i="1"/>
  <c r="K84" i="1" l="1"/>
  <c r="J84" i="1"/>
  <c r="AE84" i="1"/>
  <c r="AA84" i="1" s="1"/>
  <c r="AD84" i="1"/>
  <c r="Z84" i="1" s="1"/>
  <c r="AC84" i="1"/>
  <c r="AB84" i="1" l="1"/>
  <c r="AG84" i="1"/>
  <c r="AF84" i="1"/>
  <c r="N84" i="1" s="1"/>
  <c r="O84" i="1" l="1"/>
  <c r="P84" i="1"/>
  <c r="Q84" i="1" s="1"/>
  <c r="Y85" i="1"/>
  <c r="M84" i="1"/>
  <c r="J85" i="1" l="1"/>
  <c r="K85" i="1"/>
  <c r="AE85" i="1"/>
  <c r="AA85" i="1" s="1"/>
  <c r="AC85" i="1"/>
  <c r="AD85" i="1"/>
  <c r="Z85" i="1" s="1"/>
  <c r="AB85" i="1" l="1"/>
  <c r="AG85" i="1"/>
  <c r="AF85" i="1"/>
  <c r="N85" i="1" s="1"/>
  <c r="P85" i="1" l="1"/>
  <c r="Q85" i="1" s="1"/>
  <c r="O85" i="1"/>
  <c r="Y86" i="1"/>
  <c r="M85" i="1"/>
  <c r="J86" i="1" l="1"/>
  <c r="K86" i="1"/>
  <c r="AC86" i="1"/>
  <c r="AE86" i="1"/>
  <c r="AA86" i="1" s="1"/>
  <c r="AD86" i="1"/>
  <c r="Z86" i="1" s="1"/>
  <c r="AB86" i="1" l="1"/>
  <c r="AG86" i="1"/>
  <c r="AF86" i="1"/>
  <c r="N86" i="1" s="1"/>
  <c r="O86" i="1" l="1"/>
  <c r="P86" i="1"/>
  <c r="Q86" i="1" s="1"/>
  <c r="Y87" i="1"/>
  <c r="M86" i="1"/>
  <c r="AC87" i="1" l="1"/>
  <c r="J87" i="1"/>
  <c r="K87" i="1"/>
  <c r="AE87" i="1"/>
  <c r="AA87" i="1" s="1"/>
  <c r="AD87" i="1"/>
  <c r="Z87" i="1" s="1"/>
  <c r="AB87" i="1" l="1"/>
  <c r="AG87" i="1"/>
  <c r="AF87" i="1"/>
  <c r="N87" i="1" s="1"/>
  <c r="O87" i="1" l="1"/>
  <c r="P87" i="1"/>
  <c r="Q87" i="1" s="1"/>
  <c r="Y88" i="1"/>
  <c r="M87" i="1"/>
  <c r="AD88" i="1" l="1"/>
  <c r="Z88" i="1" s="1"/>
  <c r="J88" i="1"/>
  <c r="K88" i="1"/>
  <c r="AE88" i="1"/>
  <c r="AA88" i="1" s="1"/>
  <c r="AC88" i="1"/>
  <c r="AG88" i="1" l="1"/>
  <c r="AB88" i="1"/>
  <c r="AF88" i="1"/>
  <c r="N88" i="1" s="1"/>
  <c r="P88" i="1" l="1"/>
  <c r="Q88" i="1" s="1"/>
  <c r="O88" i="1"/>
  <c r="M88" i="1"/>
  <c r="Y89" i="1"/>
  <c r="AC89" i="1" l="1"/>
  <c r="K89" i="1"/>
  <c r="J89" i="1"/>
  <c r="AD89" i="1"/>
  <c r="Z89" i="1" s="1"/>
  <c r="AE89" i="1"/>
  <c r="AA89" i="1" s="1"/>
  <c r="AG89" i="1" l="1"/>
  <c r="AB89" i="1"/>
  <c r="AF89" i="1"/>
  <c r="N89" i="1" s="1"/>
  <c r="O89" i="1" l="1"/>
  <c r="P89" i="1"/>
  <c r="Q89" i="1" s="1"/>
  <c r="Y90" i="1"/>
  <c r="M89" i="1"/>
  <c r="AE90" i="1" l="1"/>
  <c r="AA90" i="1" s="1"/>
  <c r="J90" i="1"/>
  <c r="K90" i="1"/>
  <c r="AC90" i="1"/>
  <c r="AD90" i="1"/>
  <c r="Z90" i="1" s="1"/>
  <c r="AB90" i="1" l="1"/>
  <c r="AG90" i="1"/>
  <c r="AF90" i="1"/>
  <c r="N90" i="1" s="1"/>
  <c r="O90" i="1" l="1"/>
  <c r="P90" i="1"/>
  <c r="Q90" i="1" s="1"/>
  <c r="M90" i="1"/>
  <c r="Y91" i="1"/>
  <c r="AD91" i="1" l="1"/>
  <c r="Z91" i="1" s="1"/>
  <c r="J91" i="1"/>
  <c r="AC91" i="1"/>
  <c r="AE91" i="1"/>
  <c r="AA91" i="1" s="1"/>
  <c r="K91" i="1"/>
  <c r="AB91" i="1" l="1"/>
  <c r="AG91" i="1"/>
  <c r="AF91" i="1"/>
  <c r="N91" i="1" s="1"/>
  <c r="P91" i="1" l="1"/>
  <c r="Q91" i="1" s="1"/>
  <c r="O91" i="1"/>
  <c r="M91" i="1"/>
  <c r="Y92" i="1"/>
  <c r="AE92" i="1" l="1"/>
  <c r="AA92" i="1" s="1"/>
  <c r="K92" i="1"/>
  <c r="J92" i="1"/>
  <c r="AC92" i="1"/>
  <c r="AD92" i="1"/>
  <c r="Z92" i="1" s="1"/>
  <c r="AG92" i="1" l="1"/>
  <c r="AB92" i="1"/>
  <c r="AF92" i="1"/>
  <c r="N92" i="1" s="1"/>
  <c r="O92" i="1" l="1"/>
  <c r="P92" i="1"/>
  <c r="Q92" i="1" s="1"/>
  <c r="M92" i="1"/>
  <c r="Y93" i="1"/>
  <c r="AE93" i="1" l="1"/>
  <c r="AA93" i="1" s="1"/>
  <c r="K93" i="1"/>
  <c r="J93" i="1"/>
  <c r="AC93" i="1"/>
  <c r="AD93" i="1"/>
  <c r="Z93" i="1" s="1"/>
  <c r="AB93" i="1" l="1"/>
  <c r="AG93" i="1"/>
  <c r="AF93" i="1"/>
  <c r="N93" i="1" s="1"/>
  <c r="P93" i="1" l="1"/>
  <c r="Q93" i="1" s="1"/>
  <c r="O93" i="1"/>
  <c r="M93" i="1"/>
  <c r="Y94" i="1"/>
  <c r="AE94" i="1" l="1"/>
  <c r="AA94" i="1" s="1"/>
  <c r="J94" i="1"/>
  <c r="AD94" i="1"/>
  <c r="Z94" i="1" s="1"/>
  <c r="AC94" i="1"/>
  <c r="K94" i="1"/>
  <c r="AG94" i="1" l="1"/>
  <c r="AB94" i="1"/>
  <c r="AF94" i="1"/>
  <c r="N94" i="1" s="1"/>
  <c r="O94" i="1" l="1"/>
  <c r="P94" i="1"/>
  <c r="Q94" i="1" s="1"/>
  <c r="M94" i="1"/>
  <c r="Y95" i="1"/>
  <c r="AE95" i="1" l="1"/>
  <c r="AA95" i="1" s="1"/>
  <c r="J95" i="1"/>
  <c r="AD95" i="1"/>
  <c r="Z95" i="1" s="1"/>
  <c r="K95" i="1"/>
  <c r="AC95" i="1"/>
  <c r="AG95" i="1" l="1"/>
  <c r="AB95" i="1"/>
  <c r="AF95" i="1"/>
  <c r="N95" i="1" s="1"/>
  <c r="P95" i="1" l="1"/>
  <c r="Q95" i="1" s="1"/>
  <c r="O95" i="1"/>
  <c r="Y96" i="1"/>
  <c r="M95" i="1"/>
  <c r="AE96" i="1" l="1"/>
  <c r="AA96" i="1" s="1"/>
  <c r="AC96" i="1"/>
  <c r="J96" i="1"/>
  <c r="K96" i="1"/>
  <c r="AD96" i="1"/>
  <c r="Z96" i="1" s="1"/>
  <c r="AG96" i="1" l="1"/>
  <c r="AB96" i="1"/>
  <c r="AF96" i="1"/>
  <c r="N96" i="1" s="1"/>
  <c r="O96" i="1" l="1"/>
  <c r="P96" i="1"/>
  <c r="Q96" i="1" s="1"/>
  <c r="M96" i="1"/>
  <c r="Y97" i="1"/>
  <c r="AD97" i="1" l="1"/>
  <c r="Z97" i="1" s="1"/>
  <c r="AE97" i="1"/>
  <c r="AA97" i="1" s="1"/>
  <c r="J97" i="1"/>
  <c r="AC97" i="1"/>
  <c r="K97" i="1"/>
  <c r="AG97" i="1" l="1"/>
  <c r="AB97" i="1"/>
  <c r="AF97" i="1"/>
  <c r="N97" i="1" s="1"/>
  <c r="O97" i="1" l="1"/>
  <c r="P97" i="1"/>
  <c r="Q97" i="1" s="1"/>
  <c r="Y98" i="1"/>
  <c r="M97" i="1"/>
  <c r="AE98" i="1" l="1"/>
  <c r="AA98" i="1" s="1"/>
  <c r="J98" i="1"/>
  <c r="K98" i="1"/>
  <c r="AD98" i="1"/>
  <c r="Z98" i="1" s="1"/>
  <c r="AC98" i="1"/>
  <c r="AG98" i="1" l="1"/>
  <c r="AB98" i="1"/>
  <c r="AF98" i="1"/>
  <c r="N98" i="1" s="1"/>
  <c r="O98" i="1" l="1"/>
  <c r="P98" i="1"/>
  <c r="Q98" i="1" s="1"/>
  <c r="Y99" i="1"/>
  <c r="M98" i="1"/>
  <c r="AD99" i="1" l="1"/>
  <c r="Z99" i="1" s="1"/>
  <c r="AE99" i="1"/>
  <c r="AA99" i="1" s="1"/>
  <c r="AC99" i="1"/>
  <c r="J99" i="1"/>
  <c r="K99" i="1"/>
  <c r="AG99" i="1" l="1"/>
  <c r="AB99" i="1"/>
  <c r="AF99" i="1"/>
  <c r="N99" i="1" s="1"/>
  <c r="P99" i="1" l="1"/>
  <c r="Q99" i="1" s="1"/>
  <c r="O99" i="1"/>
  <c r="Y100" i="1"/>
  <c r="M99" i="1"/>
  <c r="AE100" i="1" l="1"/>
  <c r="AA100" i="1" s="1"/>
  <c r="K100" i="1"/>
  <c r="AC100" i="1"/>
  <c r="AD100" i="1"/>
  <c r="Z100" i="1" s="1"/>
  <c r="J100" i="1"/>
  <c r="AG100" i="1" l="1"/>
  <c r="AB100" i="1"/>
  <c r="AF100" i="1"/>
  <c r="N100" i="1" s="1"/>
  <c r="P100" i="1" l="1"/>
  <c r="Q100" i="1" s="1"/>
  <c r="O100" i="1"/>
  <c r="Y101" i="1"/>
  <c r="M100" i="1"/>
  <c r="AE101" i="1" l="1"/>
  <c r="AA101" i="1" s="1"/>
  <c r="K101" i="1"/>
  <c r="J101" i="1"/>
  <c r="AC101" i="1"/>
  <c r="AD101" i="1"/>
  <c r="Z101" i="1" s="1"/>
  <c r="AB101" i="1" l="1"/>
  <c r="AG101" i="1"/>
  <c r="AF101" i="1"/>
  <c r="N101" i="1" s="1"/>
  <c r="O101" i="1" l="1"/>
  <c r="P101" i="1"/>
  <c r="Q101" i="1" s="1"/>
  <c r="Y102" i="1"/>
  <c r="M101" i="1"/>
  <c r="AD102" i="1" l="1"/>
  <c r="Z102" i="1" s="1"/>
  <c r="K102" i="1"/>
  <c r="AC102" i="1"/>
  <c r="J102" i="1"/>
  <c r="AE102" i="1"/>
  <c r="AA102" i="1" s="1"/>
  <c r="AB102" i="1" l="1"/>
  <c r="AG102" i="1"/>
  <c r="AF102" i="1"/>
  <c r="N102" i="1" s="1"/>
  <c r="P102" i="1" l="1"/>
  <c r="Q102" i="1" s="1"/>
  <c r="O102" i="1"/>
  <c r="Y103" i="1"/>
  <c r="M102" i="1"/>
  <c r="AE103" i="1" l="1"/>
  <c r="AA103" i="1" s="1"/>
  <c r="J103" i="1"/>
  <c r="K103" i="1"/>
  <c r="AC103" i="1"/>
  <c r="AD103" i="1"/>
  <c r="Z103" i="1" s="1"/>
  <c r="AB103" i="1" l="1"/>
  <c r="AG103" i="1"/>
  <c r="AF103" i="1"/>
  <c r="N103" i="1" s="1"/>
  <c r="P103" i="1" l="1"/>
  <c r="Q103" i="1" s="1"/>
  <c r="O103" i="1"/>
  <c r="M103" i="1"/>
  <c r="Y104" i="1"/>
  <c r="AC104" i="1" l="1"/>
  <c r="K104" i="1"/>
  <c r="J104" i="1"/>
  <c r="AE104" i="1"/>
  <c r="AA104" i="1" s="1"/>
  <c r="AD104" i="1"/>
  <c r="Z104" i="1" s="1"/>
  <c r="AB104" i="1" l="1"/>
  <c r="AG104" i="1"/>
  <c r="AF104" i="1"/>
  <c r="N104" i="1" s="1"/>
  <c r="O104" i="1" l="1"/>
  <c r="P104" i="1"/>
  <c r="Q104" i="1" s="1"/>
  <c r="Y105" i="1"/>
  <c r="M104" i="1"/>
  <c r="AC105" i="1" l="1"/>
  <c r="J105" i="1"/>
  <c r="K105" i="1"/>
  <c r="AD105" i="1"/>
  <c r="Z105" i="1" s="1"/>
  <c r="AE105" i="1"/>
  <c r="AA105" i="1" s="1"/>
  <c r="AB105" i="1" l="1"/>
  <c r="AG105" i="1"/>
  <c r="AF105" i="1"/>
  <c r="N105" i="1" s="1"/>
  <c r="P105" i="1" l="1"/>
  <c r="Q105" i="1" s="1"/>
  <c r="O105" i="1"/>
  <c r="Y106" i="1"/>
  <c r="M105" i="1"/>
  <c r="AE106" i="1" l="1"/>
  <c r="AA106" i="1" s="1"/>
  <c r="K106" i="1"/>
  <c r="AC106" i="1"/>
  <c r="AD106" i="1"/>
  <c r="Z106" i="1" s="1"/>
  <c r="J106" i="1"/>
  <c r="AG106" i="1" l="1"/>
  <c r="AB106" i="1"/>
  <c r="AF106" i="1"/>
  <c r="N106" i="1" s="1"/>
  <c r="O106" i="1" l="1"/>
  <c r="P106" i="1"/>
  <c r="Q106" i="1" s="1"/>
  <c r="Y107" i="1"/>
  <c r="M106" i="1"/>
  <c r="AC107" i="1" l="1"/>
  <c r="J107" i="1"/>
  <c r="AE107" i="1"/>
  <c r="AA107" i="1" s="1"/>
  <c r="AD107" i="1"/>
  <c r="Z107" i="1" s="1"/>
  <c r="K107" i="1"/>
  <c r="E8" i="1" l="1"/>
  <c r="E14" i="1"/>
  <c r="E19" i="1"/>
  <c r="E24" i="1"/>
  <c r="E29" i="1"/>
  <c r="E34" i="1"/>
  <c r="E39" i="1"/>
  <c r="E44" i="1"/>
  <c r="E49" i="1"/>
  <c r="E54" i="1"/>
  <c r="E59" i="1"/>
  <c r="E64" i="1"/>
  <c r="E69" i="1"/>
  <c r="D18" i="1"/>
  <c r="E104" i="1"/>
  <c r="E94" i="1"/>
  <c r="E84" i="1"/>
  <c r="E89" i="1"/>
  <c r="E79" i="1"/>
  <c r="E74" i="1"/>
  <c r="E99" i="1"/>
  <c r="G28" i="1"/>
  <c r="E61" i="1"/>
  <c r="G68" i="1"/>
  <c r="D88" i="1"/>
  <c r="H30" i="1"/>
  <c r="H66" i="1"/>
  <c r="E16" i="1"/>
  <c r="E36" i="1"/>
  <c r="H74" i="1"/>
  <c r="E13" i="1"/>
  <c r="H41" i="1"/>
  <c r="G58" i="1"/>
  <c r="H88" i="1"/>
  <c r="E28" i="1"/>
  <c r="D73" i="1"/>
  <c r="H13" i="1"/>
  <c r="H43" i="1"/>
  <c r="D63" i="1"/>
  <c r="G13" i="1"/>
  <c r="F44" i="1"/>
  <c r="G71" i="1"/>
  <c r="G26" i="1"/>
  <c r="E43" i="1"/>
  <c r="F69" i="1"/>
  <c r="F85" i="1"/>
  <c r="H20" i="1"/>
  <c r="E53" i="1"/>
  <c r="H24" i="1"/>
  <c r="H56" i="1"/>
  <c r="D13" i="1"/>
  <c r="E48" i="1"/>
  <c r="F30" i="1"/>
  <c r="H65" i="1"/>
  <c r="H33" i="1"/>
  <c r="H58" i="1"/>
  <c r="F35" i="1"/>
  <c r="H84" i="1"/>
  <c r="H26" i="1"/>
  <c r="D43" i="1"/>
  <c r="E23" i="1"/>
  <c r="F50" i="1"/>
  <c r="G36" i="1"/>
  <c r="G61" i="1"/>
  <c r="H16" i="1"/>
  <c r="H50" i="1"/>
  <c r="F33" i="1"/>
  <c r="H51" i="1"/>
  <c r="H28" i="1"/>
  <c r="F23" i="1"/>
  <c r="D38" i="1"/>
  <c r="G73" i="1"/>
  <c r="F19" i="1"/>
  <c r="D58" i="1"/>
  <c r="G81" i="1"/>
  <c r="D23" i="1"/>
  <c r="E46" i="1"/>
  <c r="F75" i="1"/>
  <c r="F18" i="1"/>
  <c r="H60" i="1"/>
  <c r="H71" i="1"/>
  <c r="H14" i="1"/>
  <c r="G46" i="1"/>
  <c r="H68" i="1"/>
  <c r="G31" i="1"/>
  <c r="G48" i="1"/>
  <c r="F89" i="1"/>
  <c r="G21" i="1"/>
  <c r="F40" i="1"/>
  <c r="H76" i="1"/>
  <c r="H36" i="1"/>
  <c r="G53" i="1"/>
  <c r="G78" i="1"/>
  <c r="F55" i="1"/>
  <c r="H29" i="1"/>
  <c r="F79" i="1"/>
  <c r="F13" i="1"/>
  <c r="E58" i="1"/>
  <c r="F28" i="1"/>
  <c r="F83" i="1"/>
  <c r="D28" i="1"/>
  <c r="H49" i="1"/>
  <c r="G41" i="1"/>
  <c r="D83" i="1"/>
  <c r="F20" i="1"/>
  <c r="H64" i="1"/>
  <c r="H25" i="1"/>
  <c r="F64" i="1"/>
  <c r="E31" i="1"/>
  <c r="H69" i="1"/>
  <c r="E38" i="1"/>
  <c r="H79" i="1"/>
  <c r="F24" i="1"/>
  <c r="E78" i="1"/>
  <c r="F29" i="1"/>
  <c r="E81" i="1"/>
  <c r="H23" i="1"/>
  <c r="H46" i="1"/>
  <c r="I46" i="1" s="1"/>
  <c r="H73" i="1"/>
  <c r="D33" i="1"/>
  <c r="G76" i="1"/>
  <c r="E26" i="1"/>
  <c r="G16" i="1"/>
  <c r="G56" i="1"/>
  <c r="H70" i="1"/>
  <c r="G38" i="1"/>
  <c r="E66" i="1"/>
  <c r="H90" i="1"/>
  <c r="H15" i="1"/>
  <c r="F43" i="1"/>
  <c r="H63" i="1"/>
  <c r="F39" i="1"/>
  <c r="G66" i="1"/>
  <c r="F15" i="1"/>
  <c r="E18" i="1"/>
  <c r="H53" i="1"/>
  <c r="F74" i="1"/>
  <c r="G43" i="1"/>
  <c r="F68" i="1"/>
  <c r="H18" i="1"/>
  <c r="F25" i="1"/>
  <c r="E56" i="1"/>
  <c r="H86" i="1"/>
  <c r="H61" i="1"/>
  <c r="F73" i="1"/>
  <c r="D48" i="1"/>
  <c r="H91" i="1"/>
  <c r="F54" i="1"/>
  <c r="H75" i="1"/>
  <c r="H80" i="1"/>
  <c r="H19" i="1"/>
  <c r="D53" i="1"/>
  <c r="G88" i="1"/>
  <c r="F58" i="1"/>
  <c r="G51" i="1"/>
  <c r="D78" i="1"/>
  <c r="H45" i="1"/>
  <c r="F78" i="1"/>
  <c r="H55" i="1"/>
  <c r="H78" i="1"/>
  <c r="E51" i="1"/>
  <c r="G83" i="1"/>
  <c r="F49" i="1"/>
  <c r="E83" i="1"/>
  <c r="H48" i="1"/>
  <c r="H31" i="1"/>
  <c r="E71" i="1"/>
  <c r="H85" i="1"/>
  <c r="E91" i="1"/>
  <c r="E41" i="1"/>
  <c r="E68" i="1"/>
  <c r="H38" i="1"/>
  <c r="F70" i="1"/>
  <c r="G91" i="1"/>
  <c r="G18" i="1"/>
  <c r="F14" i="1"/>
  <c r="G63" i="1"/>
  <c r="H39" i="1"/>
  <c r="F48" i="1"/>
  <c r="F80" i="1"/>
  <c r="E21" i="1"/>
  <c r="F45" i="1"/>
  <c r="F60" i="1"/>
  <c r="F34" i="1"/>
  <c r="F63" i="1"/>
  <c r="F88" i="1"/>
  <c r="H44" i="1"/>
  <c r="F65" i="1"/>
  <c r="G33" i="1"/>
  <c r="E73" i="1"/>
  <c r="F90" i="1"/>
  <c r="H21" i="1"/>
  <c r="H54" i="1"/>
  <c r="G86" i="1"/>
  <c r="H34" i="1"/>
  <c r="E76" i="1"/>
  <c r="F84" i="1"/>
  <c r="H35" i="1"/>
  <c r="F53" i="1"/>
  <c r="H83" i="1"/>
  <c r="F38" i="1"/>
  <c r="E63" i="1"/>
  <c r="E86" i="1"/>
  <c r="E33" i="1"/>
  <c r="F59" i="1"/>
  <c r="E88" i="1"/>
  <c r="H40" i="1"/>
  <c r="D68" i="1"/>
  <c r="H89" i="1"/>
  <c r="G23" i="1"/>
  <c r="H59" i="1"/>
  <c r="H81" i="1"/>
  <c r="H94" i="1"/>
  <c r="F100" i="1"/>
  <c r="E93" i="1"/>
  <c r="D93" i="1"/>
  <c r="G98" i="1"/>
  <c r="F95" i="1"/>
  <c r="F98" i="1"/>
  <c r="H99" i="1"/>
  <c r="H93" i="1"/>
  <c r="F99" i="1"/>
  <c r="H98" i="1"/>
  <c r="H95" i="1"/>
  <c r="E96" i="1"/>
  <c r="D98" i="1"/>
  <c r="F93" i="1"/>
  <c r="G96" i="1"/>
  <c r="H100" i="1"/>
  <c r="G101" i="1"/>
  <c r="E101" i="1"/>
  <c r="H101" i="1"/>
  <c r="F94" i="1"/>
  <c r="E98" i="1"/>
  <c r="G93" i="1"/>
  <c r="H96" i="1"/>
  <c r="H8" i="1"/>
  <c r="G11" i="1"/>
  <c r="H10" i="1"/>
  <c r="E11" i="1"/>
  <c r="H11" i="1"/>
  <c r="H9" i="1"/>
  <c r="F10" i="1"/>
  <c r="D8" i="1"/>
  <c r="G8" i="1"/>
  <c r="E9" i="1"/>
  <c r="F8" i="1"/>
  <c r="F9" i="1"/>
  <c r="F103" i="1"/>
  <c r="G103" i="1"/>
  <c r="F104" i="1"/>
  <c r="D103" i="1"/>
  <c r="H105" i="1"/>
  <c r="H104" i="1"/>
  <c r="F105" i="1"/>
  <c r="E103" i="1"/>
  <c r="H103" i="1"/>
  <c r="AB107" i="1"/>
  <c r="M107" i="1" s="1"/>
  <c r="AG107" i="1"/>
  <c r="E106" i="1" s="1"/>
  <c r="AF107" i="1"/>
  <c r="N107" i="1" s="1"/>
  <c r="H106" i="1" l="1"/>
  <c r="I106" i="1" s="1"/>
  <c r="G106" i="1"/>
  <c r="I61" i="1"/>
  <c r="I81" i="1"/>
  <c r="I76" i="1"/>
  <c r="I56" i="1"/>
  <c r="I91" i="1"/>
  <c r="I36" i="1"/>
  <c r="I96" i="1"/>
  <c r="I21" i="1"/>
  <c r="I71" i="1"/>
  <c r="I26" i="1"/>
  <c r="I51" i="1"/>
  <c r="I16" i="1"/>
  <c r="I41" i="1"/>
  <c r="I66" i="1"/>
  <c r="I86" i="1"/>
  <c r="I31" i="1"/>
  <c r="I101" i="1"/>
  <c r="I11" i="1"/>
  <c r="P107" i="1"/>
  <c r="Q107" i="1" s="1"/>
  <c r="O107" i="1"/>
</calcChain>
</file>

<file path=xl/comments1.xml><?xml version="1.0" encoding="utf-8"?>
<comments xmlns="http://schemas.openxmlformats.org/spreadsheetml/2006/main">
  <authors>
    <author>Axel</author>
  </authors>
  <commentList>
    <comment ref="Q6" authorId="0">
      <text>
        <r>
          <rPr>
            <b/>
            <sz val="9"/>
            <color indexed="81"/>
            <rFont val="Tahoma"/>
            <family val="2"/>
          </rPr>
          <t>Datum des Trade-Beginns und erwartetes Datum zum Erreichen des Etappenziels (ohne Berücksichtigung von Feiertagen!)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<sst xmlns="http://schemas.openxmlformats.org/spreadsheetml/2006/main" count="87" uniqueCount="28">
  <si>
    <t>Einsatz</t>
  </si>
  <si>
    <t>Profit (%)</t>
  </si>
  <si>
    <t>Auszahlung</t>
  </si>
  <si>
    <t>Gewinn</t>
  </si>
  <si>
    <t>Budget</t>
  </si>
  <si>
    <t>Profit</t>
  </si>
  <si>
    <t>pro trade</t>
  </si>
  <si>
    <t>trades gesamt</t>
  </si>
  <si>
    <t>Aus dem Geld</t>
  </si>
  <si>
    <t>Etappenziel (Budget + ... %):</t>
  </si>
  <si>
    <t>Trades pro Stunde:</t>
  </si>
  <si>
    <t>Tage trading pro Woche:</t>
  </si>
  <si>
    <t>min. Einsatz:</t>
  </si>
  <si>
    <t>max. Einsatz:</t>
  </si>
  <si>
    <t>benötigte Zeit:</t>
  </si>
  <si>
    <t>Trades</t>
  </si>
  <si>
    <t>kumuliert</t>
  </si>
  <si>
    <t>Beginn &amp; Ende:</t>
  </si>
  <si>
    <t>trading</t>
  </si>
  <si>
    <t>Tage</t>
  </si>
  <si>
    <t>Etappe</t>
  </si>
  <si>
    <t>Std. trading pro Tag:</t>
  </si>
  <si>
    <t>Kalender</t>
  </si>
  <si>
    <t>tage</t>
  </si>
  <si>
    <t>Erwartetes Verhältnis von   gewonnene Trades : verlorene Trades</t>
  </si>
  <si>
    <t>Start-Budget:</t>
  </si>
  <si>
    <t>für 1. Etappe</t>
  </si>
  <si>
    <t>Im Geld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</si>
</sst>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\ &quot;€&quot;_-;\-* #,##0.00\ &quot;€&quot;_-;_-* &quot;-&quot;??\ &quot;€&quot;_-;_-@_-"/>
    <numFmt numFmtId="165" formatCode="_-* #,##0.00\ [$€-407]_-;\-* #,##0.00\ [$€-407]_-;_-* &quot;-&quot;??\ [$€-407]_-;_-@_-"/>
    <numFmt numFmtId="166" formatCode="#,##0.00\ &quot;€&quot;"/>
    <numFmt numFmtId="167" formatCode="#,##0\ &quot;€&quot;"/>
    <numFmt numFmtId="168" formatCode="[Color50]\+\ #,##0.00\ &quot;€&quot;;[Red]\-\ #,##0.00\ &quot;€&quot;"/>
    <numFmt numFmtId="169" formatCode="0.0%"/>
    <numFmt numFmtId="170" formatCode="#,##0.00\ &quot;€&quot;;[Red]\-\ #,##0.00\ &quot;€&quot;"/>
    <numFmt numFmtId="171" formatCode="&quot;(&quot;#,##0.00\ &quot;€&quot;&quot;)&quot;"/>
    <numFmt numFmtId="172" formatCode="&quot;(ein Trade alle &quot;0&quot; min.)&quot;"/>
    <numFmt numFmtId="173" formatCode="&quot;Etappe &quot;\ 0"/>
    <numFmt numFmtId="174" formatCode="&quot;Start: &quot;#,##0.00\ &quot;€&quot;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1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2"/>
      <color theme="9" tint="0.59999389629810485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  <font>
      <b/>
      <i/>
      <sz val="9"/>
      <color theme="0" tint="-4.9989318521683403E-2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1"/>
      <color rgb="FF000080"/>
      <name val="Calibri"/>
      <family val="2"/>
      <scheme val="minor"/>
    </font>
    <font>
      <b/>
      <sz val="10"/>
      <color rgb="FF00008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gradientFill degree="90">
        <stop position="0">
          <color theme="0" tint="-0.1490218817712943"/>
        </stop>
        <stop position="1">
          <color theme="0"/>
        </stop>
      </gradientFill>
    </fill>
    <fill>
      <patternFill patternType="solid">
        <fgColor theme="0" tint="-0.34998626667073579"/>
        <bgColor indexed="64"/>
      </patternFill>
    </fill>
    <fill>
      <gradientFill degree="90">
        <stop position="0">
          <color theme="0" tint="-0.1490218817712943"/>
        </stop>
        <stop position="1">
          <color theme="0" tint="-0.34900967436750391"/>
        </stop>
      </gradientFill>
    </fill>
    <fill>
      <gradientFill degree="90">
        <stop position="0">
          <color theme="0"/>
        </stop>
        <stop position="1">
          <color theme="0" tint="-0.1490218817712943"/>
        </stop>
      </gradientFill>
    </fill>
    <fill>
      <gradientFill degree="90">
        <stop position="0">
          <color theme="1" tint="0.34900967436750391"/>
        </stop>
        <stop position="1">
          <color theme="0"/>
        </stop>
      </gradientFill>
    </fill>
    <fill>
      <gradientFill degree="90">
        <stop position="0">
          <color theme="0" tint="-5.0965910824915313E-2"/>
        </stop>
        <stop position="1">
          <color theme="0" tint="-0.25098422193060094"/>
        </stop>
      </gradientFill>
    </fill>
    <fill>
      <gradientFill degree="90">
        <stop position="0">
          <color theme="0" tint="-0.34900967436750391"/>
        </stop>
        <stop position="1">
          <color theme="1" tint="0.49803155613879818"/>
        </stop>
      </gradientFill>
    </fill>
    <fill>
      <gradientFill degree="90">
        <stop position="0">
          <color theme="0" tint="-5.0965910824915313E-2"/>
        </stop>
        <stop position="1">
          <color theme="0" tint="-0.34900967436750391"/>
        </stop>
      </gradientFill>
    </fill>
  </fills>
  <borders count="30">
    <border>
      <left/>
      <right/>
      <top/>
      <bottom/>
      <diagonal/>
    </border>
    <border>
      <left/>
      <right/>
      <top/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23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 style="medium">
        <color indexed="23"/>
      </top>
      <bottom style="thin">
        <color indexed="23"/>
      </bottom>
      <diagonal/>
    </border>
    <border>
      <left style="thin">
        <color indexed="64"/>
      </left>
      <right/>
      <top style="medium">
        <color indexed="23"/>
      </top>
      <bottom/>
      <diagonal/>
    </border>
    <border>
      <left/>
      <right/>
      <top style="thin">
        <color indexed="23"/>
      </top>
      <bottom style="hair">
        <color theme="0" tint="-0.34998626667073579"/>
      </bottom>
      <diagonal/>
    </border>
    <border>
      <left/>
      <right/>
      <top style="thin">
        <color indexed="64"/>
      </top>
      <bottom style="medium">
        <color indexed="23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3743705557422"/>
      </left>
      <right/>
      <top/>
      <bottom/>
      <diagonal/>
    </border>
    <border>
      <left/>
      <right style="medium">
        <color theme="0" tint="-0.14996795556505021"/>
      </right>
      <top/>
      <bottom/>
      <diagonal/>
    </border>
    <border>
      <left/>
      <right/>
      <top style="thin">
        <color theme="0" tint="-0.14996795556505021"/>
      </top>
      <bottom/>
      <diagonal/>
    </border>
    <border>
      <left style="medium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0691854609822"/>
      </left>
      <right/>
      <top style="thin">
        <color theme="0" tint="-0.14993743705557422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23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23"/>
      </bottom>
      <diagonal/>
    </border>
    <border>
      <left style="thin">
        <color indexed="64"/>
      </left>
      <right/>
      <top/>
      <bottom style="medium">
        <color indexed="2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0" fontId="0" fillId="0" borderId="0" xfId="0"/>
    <xf numFmtId="9" fontId="0" fillId="0" borderId="2" xfId="2" applyFont="1" applyFill="1" applyBorder="1" applyAlignment="1"/>
    <xf numFmtId="165" fontId="0" fillId="0" borderId="2" xfId="0" applyNumberFormat="1" applyFill="1" applyBorder="1" applyAlignment="1"/>
    <xf numFmtId="165" fontId="2" fillId="0" borderId="2" xfId="0" applyNumberFormat="1" applyFont="1" applyFill="1" applyBorder="1" applyAlignment="1"/>
    <xf numFmtId="1" fontId="0" fillId="0" borderId="2" xfId="0" applyNumberFormat="1" applyFill="1" applyBorder="1" applyAlignment="1"/>
    <xf numFmtId="1" fontId="0" fillId="0" borderId="0" xfId="0" applyNumberFormat="1"/>
    <xf numFmtId="0" fontId="0" fillId="0" borderId="0" xfId="0" quotePrefix="1" applyAlignment="1">
      <alignment horizontal="center" vertical="center"/>
    </xf>
    <xf numFmtId="166" fontId="0" fillId="0" borderId="0" xfId="0" applyNumberFormat="1"/>
    <xf numFmtId="165" fontId="2" fillId="0" borderId="0" xfId="0" applyNumberFormat="1" applyFont="1" applyFill="1" applyBorder="1" applyAlignment="1"/>
    <xf numFmtId="1" fontId="0" fillId="0" borderId="0" xfId="0" applyNumberFormat="1" applyFill="1" applyBorder="1" applyAlignment="1"/>
    <xf numFmtId="165" fontId="0" fillId="0" borderId="0" xfId="0" applyNumberFormat="1" applyFill="1" applyBorder="1" applyAlignment="1"/>
    <xf numFmtId="9" fontId="0" fillId="0" borderId="0" xfId="2" applyFont="1" applyFill="1" applyBorder="1" applyAlignment="1"/>
    <xf numFmtId="165" fontId="0" fillId="0" borderId="0" xfId="0" applyNumberFormat="1" applyFill="1" applyBorder="1" applyAlignment="1">
      <alignment horizontal="right"/>
    </xf>
    <xf numFmtId="0" fontId="0" fillId="5" borderId="0" xfId="0" applyFill="1"/>
    <xf numFmtId="0" fontId="3" fillId="0" borderId="1" xfId="0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right"/>
    </xf>
    <xf numFmtId="165" fontId="0" fillId="2" borderId="10" xfId="0" applyNumberFormat="1" applyFill="1" applyBorder="1" applyAlignment="1">
      <alignment horizontal="right"/>
    </xf>
    <xf numFmtId="166" fontId="4" fillId="0" borderId="6" xfId="0" applyNumberFormat="1" applyFont="1" applyFill="1" applyBorder="1" applyAlignment="1">
      <alignment horizontal="right"/>
    </xf>
    <xf numFmtId="168" fontId="4" fillId="0" borderId="0" xfId="0" applyNumberFormat="1" applyFont="1" applyFill="1" applyBorder="1" applyAlignment="1"/>
    <xf numFmtId="168" fontId="4" fillId="0" borderId="7" xfId="0" applyNumberFormat="1" applyFont="1" applyFill="1" applyBorder="1" applyAlignment="1"/>
    <xf numFmtId="165" fontId="0" fillId="6" borderId="11" xfId="0" applyNumberFormat="1" applyFill="1" applyBorder="1" applyAlignment="1"/>
    <xf numFmtId="165" fontId="2" fillId="6" borderId="11" xfId="0" applyNumberFormat="1" applyFont="1" applyFill="1" applyBorder="1" applyAlignment="1">
      <alignment horizontal="right"/>
    </xf>
    <xf numFmtId="166" fontId="2" fillId="3" borderId="6" xfId="0" applyNumberFormat="1" applyFont="1" applyFill="1" applyBorder="1" applyAlignment="1">
      <alignment horizontal="center" vertical="center"/>
    </xf>
    <xf numFmtId="166" fontId="2" fillId="3" borderId="9" xfId="0" applyNumberFormat="1" applyFont="1" applyFill="1" applyBorder="1" applyAlignment="1">
      <alignment horizontal="center" vertical="center"/>
    </xf>
    <xf numFmtId="169" fontId="2" fillId="3" borderId="6" xfId="2" applyNumberFormat="1" applyFont="1" applyFill="1" applyBorder="1" applyAlignment="1">
      <alignment horizontal="center" vertical="center"/>
    </xf>
    <xf numFmtId="166" fontId="2" fillId="3" borderId="8" xfId="0" applyNumberFormat="1" applyFont="1" applyFill="1" applyBorder="1" applyAlignment="1">
      <alignment horizontal="center" vertical="center"/>
    </xf>
    <xf numFmtId="0" fontId="0" fillId="2" borderId="10" xfId="0" applyNumberFormat="1" applyFill="1" applyBorder="1" applyAlignment="1">
      <alignment horizontal="right"/>
    </xf>
    <xf numFmtId="0" fontId="0" fillId="2" borderId="0" xfId="0" applyNumberFormat="1" applyFill="1" applyBorder="1" applyAlignment="1">
      <alignment horizontal="right"/>
    </xf>
    <xf numFmtId="170" fontId="4" fillId="7" borderId="1" xfId="0" applyNumberFormat="1" applyFont="1" applyFill="1" applyBorder="1" applyAlignment="1"/>
    <xf numFmtId="0" fontId="0" fillId="8" borderId="0" xfId="0" applyFill="1" applyBorder="1"/>
    <xf numFmtId="0" fontId="3" fillId="8" borderId="0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right"/>
    </xf>
    <xf numFmtId="164" fontId="2" fillId="8" borderId="0" xfId="1" applyFont="1" applyFill="1" applyBorder="1"/>
    <xf numFmtId="0" fontId="0" fillId="8" borderId="0" xfId="0" applyFill="1"/>
    <xf numFmtId="0" fontId="0" fillId="6" borderId="0" xfId="0" applyFill="1"/>
    <xf numFmtId="0" fontId="0" fillId="6" borderId="0" xfId="0" applyFill="1" applyBorder="1"/>
    <xf numFmtId="0" fontId="3" fillId="6" borderId="0" xfId="0" applyFont="1" applyFill="1" applyBorder="1" applyAlignment="1">
      <alignment horizontal="center"/>
    </xf>
    <xf numFmtId="166" fontId="11" fillId="6" borderId="0" xfId="0" applyNumberFormat="1" applyFont="1" applyFill="1" applyBorder="1" applyAlignment="1">
      <alignment horizontal="left"/>
    </xf>
    <xf numFmtId="0" fontId="3" fillId="6" borderId="0" xfId="0" applyFont="1" applyFill="1" applyBorder="1" applyAlignment="1">
      <alignment horizontal="right"/>
    </xf>
    <xf numFmtId="166" fontId="11" fillId="6" borderId="0" xfId="1" applyNumberFormat="1" applyFont="1" applyFill="1" applyBorder="1"/>
    <xf numFmtId="9" fontId="8" fillId="6" borderId="0" xfId="0" applyNumberFormat="1" applyFont="1" applyFill="1" applyAlignment="1">
      <alignment horizontal="center"/>
    </xf>
    <xf numFmtId="0" fontId="3" fillId="6" borderId="0" xfId="0" applyFont="1" applyFill="1" applyBorder="1" applyAlignment="1">
      <alignment horizontal="left"/>
    </xf>
    <xf numFmtId="2" fontId="0" fillId="6" borderId="0" xfId="0" applyNumberFormat="1" applyFill="1"/>
    <xf numFmtId="0" fontId="0" fillId="6" borderId="0" xfId="0" applyNumberFormat="1" applyFill="1"/>
    <xf numFmtId="0" fontId="10" fillId="5" borderId="0" xfId="0" applyFont="1" applyFill="1"/>
    <xf numFmtId="0" fontId="0" fillId="10" borderId="0" xfId="0" applyFill="1"/>
    <xf numFmtId="0" fontId="0" fillId="10" borderId="0" xfId="0" applyFill="1" applyBorder="1"/>
    <xf numFmtId="0" fontId="0" fillId="0" borderId="0" xfId="0" applyAlignment="1">
      <alignment horizontal="left" indent="1"/>
    </xf>
    <xf numFmtId="0" fontId="0" fillId="10" borderId="19" xfId="0" applyFill="1" applyBorder="1" applyAlignment="1">
      <alignment vertical="center"/>
    </xf>
    <xf numFmtId="0" fontId="0" fillId="10" borderId="0" xfId="0" applyNumberFormat="1" applyFill="1" applyAlignment="1">
      <alignment vertical="center"/>
    </xf>
    <xf numFmtId="0" fontId="0" fillId="5" borderId="13" xfId="0" applyFill="1" applyBorder="1" applyAlignment="1">
      <alignment vertical="center"/>
    </xf>
    <xf numFmtId="2" fontId="0" fillId="5" borderId="0" xfId="0" applyNumberFormat="1" applyFill="1" applyAlignment="1">
      <alignment vertical="center"/>
    </xf>
    <xf numFmtId="0" fontId="10" fillId="5" borderId="0" xfId="0" applyFont="1" applyFill="1" applyAlignment="1">
      <alignment vertical="center"/>
    </xf>
    <xf numFmtId="0" fontId="0" fillId="10" borderId="16" xfId="0" applyFill="1" applyBorder="1" applyAlignment="1">
      <alignment vertical="center"/>
    </xf>
    <xf numFmtId="166" fontId="12" fillId="10" borderId="17" xfId="0" applyNumberFormat="1" applyFont="1" applyFill="1" applyBorder="1" applyAlignment="1">
      <alignment vertical="center"/>
    </xf>
    <xf numFmtId="166" fontId="13" fillId="5" borderId="0" xfId="0" applyNumberFormat="1" applyFont="1" applyFill="1" applyAlignment="1" applyProtection="1">
      <alignment horizontal="right" vertical="center" indent="1"/>
      <protection locked="0"/>
    </xf>
    <xf numFmtId="166" fontId="13" fillId="10" borderId="16" xfId="0" applyNumberFormat="1" applyFont="1" applyFill="1" applyBorder="1" applyAlignment="1" applyProtection="1">
      <alignment horizontal="right" vertical="center" indent="1"/>
      <protection locked="0"/>
    </xf>
    <xf numFmtId="169" fontId="14" fillId="10" borderId="4" xfId="2" applyNumberFormat="1" applyFont="1" applyFill="1" applyBorder="1" applyAlignment="1" applyProtection="1">
      <alignment horizontal="center" vertical="center"/>
      <protection locked="0"/>
    </xf>
    <xf numFmtId="166" fontId="0" fillId="9" borderId="3" xfId="1" applyNumberFormat="1" applyFont="1" applyFill="1" applyBorder="1" applyAlignment="1" applyProtection="1">
      <alignment vertical="center"/>
    </xf>
    <xf numFmtId="169" fontId="14" fillId="10" borderId="3" xfId="2" applyNumberFormat="1" applyFont="1" applyFill="1" applyBorder="1" applyAlignment="1" applyProtection="1">
      <alignment horizontal="center" vertical="center"/>
      <protection locked="0"/>
    </xf>
    <xf numFmtId="165" fontId="15" fillId="6" borderId="11" xfId="0" applyNumberFormat="1" applyFont="1" applyFill="1" applyBorder="1" applyAlignment="1">
      <alignment horizontal="right" vertical="center"/>
    </xf>
    <xf numFmtId="0" fontId="15" fillId="2" borderId="0" xfId="0" applyNumberFormat="1" applyFont="1" applyFill="1" applyBorder="1" applyAlignment="1">
      <alignment horizontal="right" vertical="center"/>
    </xf>
    <xf numFmtId="165" fontId="15" fillId="4" borderId="4" xfId="0" applyNumberFormat="1" applyFont="1" applyFill="1" applyBorder="1" applyAlignment="1">
      <alignment horizontal="center" vertical="center"/>
    </xf>
    <xf numFmtId="0" fontId="16" fillId="6" borderId="11" xfId="2" applyNumberFormat="1" applyFont="1" applyFill="1" applyBorder="1" applyAlignment="1">
      <alignment vertical="center" shrinkToFit="1"/>
    </xf>
    <xf numFmtId="0" fontId="17" fillId="5" borderId="0" xfId="0" applyFont="1" applyFill="1" applyAlignment="1">
      <alignment horizontal="right" vertical="center"/>
    </xf>
    <xf numFmtId="0" fontId="17" fillId="10" borderId="16" xfId="0" applyFont="1" applyFill="1" applyBorder="1" applyAlignment="1">
      <alignment horizontal="right" vertical="center"/>
    </xf>
    <xf numFmtId="0" fontId="17" fillId="10" borderId="14" xfId="0" applyFont="1" applyFill="1" applyBorder="1" applyAlignment="1">
      <alignment horizontal="right" vertical="center"/>
    </xf>
    <xf numFmtId="9" fontId="13" fillId="5" borderId="0" xfId="0" applyNumberFormat="1" applyFont="1" applyFill="1" applyAlignment="1" applyProtection="1">
      <alignment horizontal="left" vertical="center" indent="1"/>
      <protection locked="0"/>
    </xf>
    <xf numFmtId="166" fontId="13" fillId="10" borderId="18" xfId="1" applyNumberFormat="1" applyFont="1" applyFill="1" applyBorder="1" applyAlignment="1" applyProtection="1">
      <alignment horizontal="left" vertical="center" indent="1"/>
      <protection locked="0"/>
    </xf>
    <xf numFmtId="0" fontId="13" fillId="10" borderId="20" xfId="0" applyNumberFormat="1" applyFont="1" applyFill="1" applyBorder="1" applyAlignment="1" applyProtection="1">
      <alignment horizontal="center" vertical="center"/>
      <protection locked="0"/>
    </xf>
    <xf numFmtId="0" fontId="17" fillId="10" borderId="21" xfId="0" applyFont="1" applyFill="1" applyBorder="1" applyAlignment="1">
      <alignment horizontal="right" vertical="center"/>
    </xf>
    <xf numFmtId="0" fontId="17" fillId="10" borderId="20" xfId="0" applyFont="1" applyFill="1" applyBorder="1" applyAlignment="1">
      <alignment horizontal="right" vertical="center"/>
    </xf>
    <xf numFmtId="172" fontId="21" fillId="5" borderId="0" xfId="0" applyNumberFormat="1" applyFont="1" applyFill="1" applyAlignment="1">
      <alignment horizontal="left" vertical="center"/>
    </xf>
    <xf numFmtId="171" fontId="20" fillId="5" borderId="0" xfId="0" applyNumberFormat="1" applyFont="1" applyFill="1" applyAlignment="1">
      <alignment horizontal="center" vertical="center"/>
    </xf>
    <xf numFmtId="0" fontId="19" fillId="10" borderId="0" xfId="0" applyFont="1" applyFill="1" applyAlignment="1">
      <alignment horizontal="center" vertical="top"/>
    </xf>
    <xf numFmtId="0" fontId="7" fillId="0" borderId="0" xfId="0" applyFont="1" applyAlignment="1">
      <alignment horizontal="center"/>
    </xf>
    <xf numFmtId="0" fontId="0" fillId="9" borderId="3" xfId="0" applyNumberFormat="1" applyFont="1" applyFill="1" applyBorder="1" applyAlignment="1">
      <alignment vertical="center"/>
    </xf>
    <xf numFmtId="0" fontId="7" fillId="0" borderId="5" xfId="0" applyFont="1" applyBorder="1" applyAlignment="1">
      <alignment horizontal="center" vertical="top"/>
    </xf>
    <xf numFmtId="14" fontId="14" fillId="10" borderId="5" xfId="2" applyNumberFormat="1" applyFont="1" applyFill="1" applyBorder="1" applyAlignment="1" applyProtection="1">
      <alignment horizontal="center" vertical="center"/>
      <protection locked="0"/>
    </xf>
    <xf numFmtId="0" fontId="0" fillId="9" borderId="22" xfId="0" applyNumberFormat="1" applyFont="1" applyFill="1" applyBorder="1" applyAlignment="1">
      <alignment vertical="center"/>
    </xf>
    <xf numFmtId="14" fontId="0" fillId="9" borderId="22" xfId="0" applyNumberFormat="1" applyFont="1" applyFill="1" applyBorder="1" applyAlignment="1">
      <alignment horizontal="center" vertical="center"/>
    </xf>
    <xf numFmtId="0" fontId="13" fillId="5" borderId="0" xfId="0" applyNumberFormat="1" applyFont="1" applyFill="1" applyAlignment="1" applyProtection="1">
      <alignment horizontal="left" vertical="center" indent="1"/>
      <protection locked="0"/>
    </xf>
    <xf numFmtId="0" fontId="13" fillId="10" borderId="20" xfId="0" applyNumberFormat="1" applyFont="1" applyFill="1" applyBorder="1" applyAlignment="1" applyProtection="1">
      <alignment horizontal="left" vertical="center" indent="1"/>
      <protection locked="0"/>
    </xf>
    <xf numFmtId="0" fontId="23" fillId="9" borderId="3" xfId="0" applyFont="1" applyFill="1" applyBorder="1" applyAlignment="1">
      <alignment horizontal="right" vertical="center" indent="1"/>
    </xf>
    <xf numFmtId="0" fontId="0" fillId="10" borderId="16" xfId="0" applyNumberFormat="1" applyFill="1" applyBorder="1" applyAlignment="1">
      <alignment vertical="center"/>
    </xf>
    <xf numFmtId="0" fontId="0" fillId="0" borderId="0" xfId="0" applyFill="1"/>
    <xf numFmtId="0" fontId="0" fillId="0" borderId="0" xfId="0" applyFill="1" applyBorder="1"/>
    <xf numFmtId="166" fontId="18" fillId="0" borderId="6" xfId="0" applyNumberFormat="1" applyFont="1" applyFill="1" applyBorder="1" applyAlignment="1">
      <alignment horizontal="right"/>
    </xf>
    <xf numFmtId="0" fontId="22" fillId="0" borderId="0" xfId="0" applyFont="1" applyAlignment="1">
      <alignment horizontal="left" indent="1"/>
    </xf>
    <xf numFmtId="9" fontId="24" fillId="0" borderId="0" xfId="0" applyNumberFormat="1" applyFont="1" applyAlignment="1">
      <alignment horizontal="left" vertical="center" indent="1"/>
    </xf>
    <xf numFmtId="0" fontId="5" fillId="0" borderId="0" xfId="0" applyFont="1" applyAlignment="1">
      <alignment horizontal="left" indent="1"/>
    </xf>
    <xf numFmtId="0" fontId="5" fillId="0" borderId="0" xfId="0" applyFont="1"/>
    <xf numFmtId="166" fontId="0" fillId="0" borderId="0" xfId="0" applyNumberFormat="1" applyFill="1"/>
    <xf numFmtId="0" fontId="0" fillId="0" borderId="0" xfId="0" applyFill="1" applyAlignment="1">
      <alignment horizontal="center"/>
    </xf>
    <xf numFmtId="0" fontId="2" fillId="0" borderId="0" xfId="0" applyFont="1" applyFill="1"/>
    <xf numFmtId="14" fontId="0" fillId="0" borderId="0" xfId="0" applyNumberFormat="1"/>
    <xf numFmtId="14" fontId="0" fillId="9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23" fillId="9" borderId="22" xfId="0" applyFont="1" applyFill="1" applyBorder="1" applyAlignment="1">
      <alignment horizontal="right" vertical="center" indent="1"/>
    </xf>
    <xf numFmtId="166" fontId="0" fillId="9" borderId="22" xfId="1" applyNumberFormat="1" applyFont="1" applyFill="1" applyBorder="1" applyAlignment="1" applyProtection="1">
      <alignment vertical="center"/>
    </xf>
    <xf numFmtId="169" fontId="14" fillId="10" borderId="22" xfId="2" applyNumberFormat="1" applyFont="1" applyFill="1" applyBorder="1" applyAlignment="1" applyProtection="1">
      <alignment horizontal="center" vertical="center"/>
      <protection locked="0"/>
    </xf>
    <xf numFmtId="166" fontId="2" fillId="9" borderId="22" xfId="0" applyNumberFormat="1" applyFont="1" applyFill="1" applyBorder="1" applyAlignment="1">
      <alignment horizontal="right" vertical="center" indent="1"/>
    </xf>
    <xf numFmtId="166" fontId="2" fillId="9" borderId="3" xfId="0" applyNumberFormat="1" applyFont="1" applyFill="1" applyBorder="1" applyAlignment="1">
      <alignment horizontal="right" vertical="center" indent="1"/>
    </xf>
    <xf numFmtId="3" fontId="0" fillId="9" borderId="22" xfId="0" applyNumberFormat="1" applyFont="1" applyFill="1" applyBorder="1" applyAlignment="1">
      <alignment vertical="center"/>
    </xf>
    <xf numFmtId="3" fontId="0" fillId="9" borderId="3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164" fontId="2" fillId="0" borderId="0" xfId="1" applyFont="1" applyFill="1" applyBorder="1"/>
    <xf numFmtId="0" fontId="26" fillId="0" borderId="23" xfId="0" applyFont="1" applyBorder="1"/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5" xfId="0" applyFont="1" applyBorder="1" applyAlignment="1">
      <alignment horizontal="center" vertical="top"/>
    </xf>
    <xf numFmtId="0" fontId="26" fillId="0" borderId="0" xfId="0" applyFont="1" applyAlignment="1">
      <alignment horizontal="center" vertical="top"/>
    </xf>
    <xf numFmtId="174" fontId="6" fillId="0" borderId="24" xfId="0" applyNumberFormat="1" applyFont="1" applyBorder="1" applyAlignment="1">
      <alignment horizontal="right" indent="1" shrinkToFit="1"/>
    </xf>
    <xf numFmtId="9" fontId="13" fillId="10" borderId="0" xfId="2" applyNumberFormat="1" applyFont="1" applyFill="1" applyBorder="1" applyAlignment="1" applyProtection="1">
      <alignment horizontal="right" vertical="center"/>
      <protection locked="0"/>
    </xf>
    <xf numFmtId="9" fontId="25" fillId="10" borderId="0" xfId="0" applyNumberFormat="1" applyFont="1" applyFill="1" applyBorder="1" applyAlignment="1">
      <alignment horizontal="left" vertical="center"/>
    </xf>
    <xf numFmtId="0" fontId="26" fillId="0" borderId="5" xfId="0" applyFont="1" applyBorder="1" applyAlignment="1">
      <alignment horizontal="center"/>
    </xf>
    <xf numFmtId="0" fontId="17" fillId="10" borderId="15" xfId="0" applyFont="1" applyFill="1" applyBorder="1" applyAlignment="1">
      <alignment horizontal="center" vertical="center"/>
    </xf>
    <xf numFmtId="9" fontId="8" fillId="6" borderId="0" xfId="2" applyFont="1" applyFill="1" applyAlignment="1" applyProtection="1">
      <alignment horizontal="left"/>
    </xf>
    <xf numFmtId="166" fontId="0" fillId="9" borderId="0" xfId="0" applyNumberFormat="1" applyFill="1" applyProtection="1"/>
    <xf numFmtId="0" fontId="0" fillId="9" borderId="0" xfId="0" applyFill="1" applyProtection="1"/>
    <xf numFmtId="1" fontId="0" fillId="9" borderId="0" xfId="0" applyNumberFormat="1" applyFill="1" applyProtection="1"/>
    <xf numFmtId="165" fontId="15" fillId="6" borderId="25" xfId="0" applyNumberFormat="1" applyFont="1" applyFill="1" applyBorder="1" applyAlignment="1">
      <alignment horizontal="right" vertical="center"/>
    </xf>
    <xf numFmtId="0" fontId="15" fillId="2" borderId="26" xfId="0" applyNumberFormat="1" applyFont="1" applyFill="1" applyBorder="1" applyAlignment="1">
      <alignment horizontal="right" vertical="center"/>
    </xf>
    <xf numFmtId="173" fontId="9" fillId="11" borderId="27" xfId="0" applyNumberFormat="1" applyFont="1" applyFill="1" applyBorder="1" applyAlignment="1">
      <alignment horizontal="center" vertical="center" textRotation="90" wrapText="1" shrinkToFit="1"/>
    </xf>
    <xf numFmtId="173" fontId="9" fillId="11" borderId="5" xfId="0" applyNumberFormat="1" applyFont="1" applyFill="1" applyBorder="1" applyAlignment="1">
      <alignment horizontal="center" vertical="center" textRotation="90" wrapText="1" shrinkToFit="1"/>
    </xf>
    <xf numFmtId="173" fontId="9" fillId="11" borderId="28" xfId="0" applyNumberFormat="1" applyFont="1" applyFill="1" applyBorder="1" applyAlignment="1">
      <alignment horizontal="center" vertical="center" textRotation="90" wrapText="1" shrinkToFit="1"/>
    </xf>
    <xf numFmtId="3" fontId="4" fillId="2" borderId="2" xfId="2" applyNumberFormat="1" applyFont="1" applyFill="1" applyBorder="1" applyAlignment="1">
      <alignment horizontal="center" vertical="center" wrapText="1" shrinkToFit="1"/>
    </xf>
    <xf numFmtId="3" fontId="4" fillId="2" borderId="12" xfId="2" applyNumberFormat="1" applyFont="1" applyFill="1" applyBorder="1" applyAlignment="1">
      <alignment horizontal="center" vertical="center" wrapText="1" shrinkToFit="1"/>
    </xf>
    <xf numFmtId="173" fontId="9" fillId="11" borderId="9" xfId="0" applyNumberFormat="1" applyFont="1" applyFill="1" applyBorder="1" applyAlignment="1" applyProtection="1">
      <alignment horizontal="center" vertical="center" textRotation="90" wrapText="1" shrinkToFit="1"/>
      <protection locked="0"/>
    </xf>
    <xf numFmtId="173" fontId="9" fillId="11" borderId="24" xfId="0" applyNumberFormat="1" applyFont="1" applyFill="1" applyBorder="1" applyAlignment="1" applyProtection="1">
      <alignment horizontal="center" vertical="center" textRotation="90" wrapText="1" shrinkToFit="1"/>
      <protection locked="0"/>
    </xf>
    <xf numFmtId="173" fontId="9" fillId="11" borderId="29" xfId="0" applyNumberFormat="1" applyFont="1" applyFill="1" applyBorder="1" applyAlignment="1" applyProtection="1">
      <alignment horizontal="center" vertical="center" textRotation="90" wrapText="1" shrinkToFit="1"/>
      <protection locked="0"/>
    </xf>
    <xf numFmtId="3" fontId="4" fillId="2" borderId="12" xfId="0" applyNumberFormat="1" applyFont="1" applyFill="1" applyBorder="1" applyAlignment="1">
      <alignment horizontal="center" vertical="center" wrapText="1" shrinkToFit="1"/>
    </xf>
    <xf numFmtId="167" fontId="19" fillId="5" borderId="14" xfId="0" applyNumberFormat="1" applyFont="1" applyFill="1" applyBorder="1" applyAlignment="1">
      <alignment horizontal="left" indent="1"/>
    </xf>
    <xf numFmtId="0" fontId="19" fillId="5" borderId="0" xfId="0" applyFont="1" applyFill="1" applyBorder="1" applyAlignment="1">
      <alignment horizontal="left" indent="1"/>
    </xf>
    <xf numFmtId="0" fontId="19" fillId="5" borderId="15" xfId="0" applyFont="1" applyFill="1" applyBorder="1" applyAlignment="1">
      <alignment horizontal="left" indent="1"/>
    </xf>
  </cellXfs>
  <cellStyles count="3">
    <cellStyle name="Prozent" xfId="2" builtinId="5"/>
    <cellStyle name="Standard" xfId="0" builtinId="0"/>
    <cellStyle name="Währung" xfId="1" builtinId="4"/>
  </cellStyles>
  <dxfs count="142">
    <dxf>
      <font>
        <color rgb="FFFF9393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gradientFill degree="90">
          <stop position="0">
            <color rgb="FFEBE600"/>
          </stop>
          <stop position="1">
            <color theme="0" tint="-0.34900967436750391"/>
          </stop>
        </gradientFill>
      </fill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2" defaultPivotStyle="PivotStyleLight16"/>
  <colors>
    <mruColors>
      <color rgb="FFFF9393"/>
      <color rgb="FFFF5050"/>
      <color rgb="FFEBE600"/>
      <color rgb="FFC4C46E"/>
      <color rgb="FFFFFF99"/>
      <color rgb="FFA29B3A"/>
      <color rgb="FFB2AF3F"/>
      <color rgb="FFDBD600"/>
      <color rgb="FF9E9A00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27021</xdr:colOff>
      <xdr:row>0</xdr:row>
      <xdr:rowOff>11233</xdr:rowOff>
    </xdr:from>
    <xdr:ext cx="12664684" cy="439095"/>
    <xdr:sp macro="" textlink="">
      <xdr:nvSpPr>
        <xdr:cNvPr id="2" name="Rechteck 1"/>
        <xdr:cNvSpPr/>
      </xdr:nvSpPr>
      <xdr:spPr>
        <a:xfrm>
          <a:off x="579845" y="11233"/>
          <a:ext cx="12664684" cy="43909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de-DE" sz="2200" b="1" cap="all" spc="0">
              <a:ln w="0"/>
              <a:gradFill flip="none">
                <a:gsLst>
                  <a:gs pos="0">
                    <a:schemeClr val="accent1">
                      <a:tint val="75000"/>
                      <a:shade val="75000"/>
                      <a:satMod val="170000"/>
                    </a:schemeClr>
                  </a:gs>
                  <a:gs pos="49000">
                    <a:schemeClr val="accent1">
                      <a:tint val="88000"/>
                      <a:shade val="65000"/>
                      <a:satMod val="172000"/>
                    </a:schemeClr>
                  </a:gs>
                  <a:gs pos="50000">
                    <a:schemeClr val="accent1">
                      <a:shade val="65000"/>
                      <a:satMod val="130000"/>
                    </a:schemeClr>
                  </a:gs>
                  <a:gs pos="92000">
                    <a:schemeClr val="accent1">
                      <a:shade val="50000"/>
                      <a:satMod val="120000"/>
                    </a:schemeClr>
                  </a:gs>
                  <a:gs pos="100000">
                    <a:schemeClr val="accent1">
                      <a:shade val="48000"/>
                      <a:satMod val="120000"/>
                    </a:schemeClr>
                  </a:gs>
                </a:gsLst>
                <a:lin ang="5400000"/>
              </a:gradFill>
              <a:effectLst>
                <a:reflection blurRad="63500" stA="20000" endPos="60000" dist="38100" dir="5400000" sy="-100000" rotWithShape="0"/>
              </a:effectLst>
              <a:latin typeface="Sofachrome Rg" panose="02010507020000090004" pitchFamily="2" charset="0"/>
            </a:rPr>
            <a:t>Axcel's </a:t>
          </a:r>
          <a:r>
            <a:rPr lang="de-DE" sz="2200" b="1" cap="all" spc="0" baseline="0">
              <a:ln w="0"/>
              <a:gradFill flip="none">
                <a:gsLst>
                  <a:gs pos="0">
                    <a:schemeClr val="accent1">
                      <a:tint val="75000"/>
                      <a:shade val="75000"/>
                      <a:satMod val="170000"/>
                    </a:schemeClr>
                  </a:gs>
                  <a:gs pos="49000">
                    <a:schemeClr val="accent1">
                      <a:tint val="88000"/>
                      <a:shade val="65000"/>
                      <a:satMod val="172000"/>
                    </a:schemeClr>
                  </a:gs>
                  <a:gs pos="50000">
                    <a:schemeClr val="accent1">
                      <a:shade val="65000"/>
                      <a:satMod val="130000"/>
                    </a:schemeClr>
                  </a:gs>
                  <a:gs pos="92000">
                    <a:schemeClr val="accent1">
                      <a:shade val="50000"/>
                      <a:satMod val="120000"/>
                    </a:schemeClr>
                  </a:gs>
                  <a:gs pos="100000">
                    <a:schemeClr val="accent1">
                      <a:shade val="48000"/>
                      <a:satMod val="120000"/>
                    </a:schemeClr>
                  </a:gs>
                </a:gsLst>
                <a:lin ang="5400000"/>
              </a:gradFill>
              <a:effectLst>
                <a:reflection blurRad="63500" stA="20000" endPos="60000" dist="38100" dir="5400000" sy="-100000" rotWithShape="0"/>
              </a:effectLst>
              <a:latin typeface="Sofachrome Rg" panose="02010507020000090004" pitchFamily="2" charset="0"/>
            </a:rPr>
            <a:t> </a:t>
          </a:r>
          <a:r>
            <a:rPr lang="de-DE" sz="2200" b="1" cap="all" spc="0">
              <a:ln w="0"/>
              <a:gradFill flip="none">
                <a:gsLst>
                  <a:gs pos="0">
                    <a:schemeClr val="accent1">
                      <a:tint val="75000"/>
                      <a:shade val="75000"/>
                      <a:satMod val="170000"/>
                    </a:schemeClr>
                  </a:gs>
                  <a:gs pos="49000">
                    <a:schemeClr val="accent1">
                      <a:tint val="88000"/>
                      <a:shade val="65000"/>
                      <a:satMod val="172000"/>
                    </a:schemeClr>
                  </a:gs>
                  <a:gs pos="50000">
                    <a:schemeClr val="accent1">
                      <a:shade val="65000"/>
                      <a:satMod val="130000"/>
                    </a:schemeClr>
                  </a:gs>
                  <a:gs pos="92000">
                    <a:schemeClr val="accent1">
                      <a:shade val="50000"/>
                      <a:satMod val="120000"/>
                    </a:schemeClr>
                  </a:gs>
                  <a:gs pos="100000">
                    <a:schemeClr val="accent1">
                      <a:shade val="48000"/>
                      <a:satMod val="120000"/>
                    </a:schemeClr>
                  </a:gs>
                </a:gsLst>
                <a:lin ang="5400000"/>
              </a:gradFill>
              <a:effectLst>
                <a:reflection blurRad="63500" stA="20000" endPos="60000" dist="38100" dir="5400000" sy="-100000" rotWithShape="0"/>
              </a:effectLst>
              <a:latin typeface="Sofachrome Rg" panose="02010507020000090004" pitchFamily="2" charset="0"/>
            </a:rPr>
            <a:t>Binäre</a:t>
          </a:r>
          <a:r>
            <a:rPr lang="de-DE" sz="2200" b="1" cap="all" spc="0" baseline="0">
              <a:ln w="0"/>
              <a:gradFill flip="none">
                <a:gsLst>
                  <a:gs pos="0">
                    <a:schemeClr val="accent1">
                      <a:tint val="75000"/>
                      <a:shade val="75000"/>
                      <a:satMod val="170000"/>
                    </a:schemeClr>
                  </a:gs>
                  <a:gs pos="49000">
                    <a:schemeClr val="accent1">
                      <a:tint val="88000"/>
                      <a:shade val="65000"/>
                      <a:satMod val="172000"/>
                    </a:schemeClr>
                  </a:gs>
                  <a:gs pos="50000">
                    <a:schemeClr val="accent1">
                      <a:shade val="65000"/>
                      <a:satMod val="130000"/>
                    </a:schemeClr>
                  </a:gs>
                  <a:gs pos="92000">
                    <a:schemeClr val="accent1">
                      <a:shade val="50000"/>
                      <a:satMod val="120000"/>
                    </a:schemeClr>
                  </a:gs>
                  <a:gs pos="100000">
                    <a:schemeClr val="accent1">
                      <a:shade val="48000"/>
                      <a:satMod val="120000"/>
                    </a:schemeClr>
                  </a:gs>
                </a:gsLst>
                <a:lin ang="5400000"/>
              </a:gradFill>
              <a:effectLst>
                <a:reflection blurRad="63500" stA="20000" endPos="60000" dist="38100" dir="5400000" sy="-100000" rotWithShape="0"/>
              </a:effectLst>
              <a:latin typeface="Sofachrome Rg" panose="02010507020000090004" pitchFamily="2" charset="0"/>
            </a:rPr>
            <a:t>  Optionen  Millionär  rechner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AI451"/>
  <sheetViews>
    <sheetView showGridLines="0" showRowColHeaders="0" tabSelected="1" zoomScale="102" zoomScaleNormal="102" workbookViewId="0">
      <pane ySplit="7" topLeftCell="A8" activePane="bottomLeft" state="frozen"/>
      <selection pane="bottomLeft" activeCell="E2" sqref="E2"/>
    </sheetView>
  </sheetViews>
  <sheetFormatPr baseColWidth="10" defaultColWidth="0" defaultRowHeight="14.4" zeroHeight="1" x14ac:dyDescent="0.3"/>
  <cols>
    <col min="1" max="1" width="0.88671875" customWidth="1"/>
    <col min="2" max="2" width="0.77734375" customWidth="1"/>
    <col min="3" max="3" width="8.6640625" customWidth="1"/>
    <col min="4" max="4" width="13.5546875" customWidth="1"/>
    <col min="5" max="5" width="12.77734375" customWidth="1"/>
    <col min="6" max="6" width="11.44140625" customWidth="1"/>
    <col min="7" max="7" width="17.21875" customWidth="1"/>
    <col min="8" max="8" width="20.5546875" customWidth="1"/>
    <col min="9" max="9" width="12.6640625" customWidth="1"/>
    <col min="10" max="10" width="8.88671875" customWidth="1"/>
    <col min="11" max="11" width="11.5546875" customWidth="1"/>
    <col min="12" max="12" width="8.21875" customWidth="1"/>
    <col min="13" max="13" width="17.6640625" customWidth="1"/>
    <col min="14" max="14" width="10" customWidth="1"/>
    <col min="15" max="15" width="8.5546875" customWidth="1"/>
    <col min="16" max="16" width="8.33203125" hidden="1" customWidth="1"/>
    <col min="17" max="17" width="12.88671875" customWidth="1"/>
    <col min="18" max="18" width="23.6640625" customWidth="1"/>
    <col min="19" max="19" width="4.77734375" customWidth="1"/>
    <col min="20" max="20" width="1.5546875" customWidth="1"/>
    <col min="21" max="21" width="18.88671875" hidden="1" customWidth="1"/>
    <col min="22" max="22" width="9.5546875" hidden="1" customWidth="1"/>
    <col min="23" max="24" width="14.33203125" hidden="1" customWidth="1"/>
    <col min="25" max="28" width="15.44140625" hidden="1" customWidth="1"/>
    <col min="29" max="29" width="14.33203125" hidden="1" customWidth="1"/>
    <col min="30" max="32" width="11.5546875" hidden="1" customWidth="1"/>
    <col min="33" max="33" width="18" hidden="1" customWidth="1"/>
    <col min="34" max="16384" width="11.5546875" hidden="1"/>
  </cols>
  <sheetData>
    <row r="1" spans="1:35" ht="45" customHeight="1" x14ac:dyDescent="0.3">
      <c r="A1" s="120"/>
      <c r="B1" s="120"/>
      <c r="C1" s="120"/>
      <c r="D1" s="120"/>
      <c r="E1" s="120"/>
      <c r="F1" s="120"/>
      <c r="G1" s="120"/>
      <c r="H1" s="120"/>
      <c r="I1" s="119"/>
      <c r="J1" s="119"/>
      <c r="K1" s="120"/>
      <c r="L1" s="120"/>
      <c r="M1" s="120"/>
      <c r="N1" s="120"/>
      <c r="O1" s="120"/>
      <c r="P1" s="120"/>
      <c r="Q1" s="121"/>
      <c r="R1" s="121"/>
      <c r="S1" s="121"/>
      <c r="T1" s="120"/>
      <c r="V1" s="6"/>
      <c r="W1" s="6"/>
    </row>
    <row r="2" spans="1:35" ht="15.6" x14ac:dyDescent="0.3">
      <c r="A2" s="13"/>
      <c r="B2" s="44"/>
      <c r="C2" s="52"/>
      <c r="D2" s="64" t="s">
        <v>12</v>
      </c>
      <c r="E2" s="55">
        <v>5</v>
      </c>
      <c r="F2" s="50"/>
      <c r="G2" s="64" t="s">
        <v>9</v>
      </c>
      <c r="H2" s="67">
        <v>0.2</v>
      </c>
      <c r="I2" s="73">
        <f>H2*H3</f>
        <v>50</v>
      </c>
      <c r="J2" s="133" t="s">
        <v>24</v>
      </c>
      <c r="K2" s="134"/>
      <c r="L2" s="134"/>
      <c r="M2" s="135"/>
      <c r="N2" s="50"/>
      <c r="O2" s="64" t="s">
        <v>10</v>
      </c>
      <c r="P2" s="13"/>
      <c r="Q2" s="81">
        <v>6</v>
      </c>
      <c r="R2" s="72">
        <f>60/Q2</f>
        <v>10</v>
      </c>
      <c r="S2" s="51"/>
      <c r="T2" s="13"/>
      <c r="V2" s="7"/>
      <c r="W2" s="7"/>
      <c r="X2" s="7"/>
    </row>
    <row r="3" spans="1:35" ht="18" customHeight="1" x14ac:dyDescent="0.3">
      <c r="A3" s="45"/>
      <c r="B3" s="46"/>
      <c r="C3" s="53"/>
      <c r="D3" s="65" t="s">
        <v>13</v>
      </c>
      <c r="E3" s="56">
        <v>2000</v>
      </c>
      <c r="F3" s="54"/>
      <c r="G3" s="65" t="s">
        <v>25</v>
      </c>
      <c r="H3" s="68">
        <v>250</v>
      </c>
      <c r="I3" s="74" t="s">
        <v>26</v>
      </c>
      <c r="J3" s="66" t="s">
        <v>27</v>
      </c>
      <c r="K3" s="114">
        <v>0.65</v>
      </c>
      <c r="L3" s="115" t="str">
        <f>": " &amp; (1-K3)*100 &amp; "%"</f>
        <v>: 35%</v>
      </c>
      <c r="M3" s="117" t="s">
        <v>8</v>
      </c>
      <c r="N3" s="48"/>
      <c r="O3" s="71" t="s">
        <v>21</v>
      </c>
      <c r="P3" s="84"/>
      <c r="Q3" s="82">
        <v>3</v>
      </c>
      <c r="R3" s="70" t="s">
        <v>11</v>
      </c>
      <c r="S3" s="69">
        <v>3</v>
      </c>
      <c r="T3" s="49"/>
      <c r="V3" s="7"/>
      <c r="W3" s="7"/>
      <c r="X3" s="7"/>
      <c r="Y3" s="7"/>
      <c r="Z3" s="7"/>
      <c r="AA3" s="7"/>
      <c r="AB3" s="7"/>
    </row>
    <row r="4" spans="1:35" ht="7.2" customHeight="1" x14ac:dyDescent="0.3">
      <c r="A4" s="34"/>
      <c r="B4" s="35"/>
      <c r="C4" s="35"/>
      <c r="D4" s="36"/>
      <c r="E4" s="37"/>
      <c r="F4" s="37"/>
      <c r="G4" s="38"/>
      <c r="H4" s="39"/>
      <c r="I4" s="34"/>
      <c r="J4" s="38"/>
      <c r="K4" s="118"/>
      <c r="L4" s="40"/>
      <c r="M4" s="41"/>
      <c r="N4" s="34"/>
      <c r="O4" s="34"/>
      <c r="P4" s="34"/>
      <c r="Q4" s="42"/>
      <c r="R4" s="42"/>
      <c r="S4" s="42"/>
      <c r="T4" s="43"/>
      <c r="V4" s="7"/>
      <c r="W4" s="7"/>
      <c r="X4" s="7"/>
      <c r="Y4" s="7"/>
      <c r="Z4" s="7"/>
      <c r="AA4" s="7"/>
      <c r="AB4" s="7"/>
    </row>
    <row r="5" spans="1:35" ht="8.4" customHeight="1" x14ac:dyDescent="0.3">
      <c r="A5" s="29"/>
      <c r="B5" s="30"/>
      <c r="C5" s="29"/>
      <c r="D5" s="29"/>
      <c r="E5" s="29"/>
      <c r="F5" s="29"/>
      <c r="G5" s="31"/>
      <c r="H5" s="32"/>
      <c r="I5" s="29"/>
      <c r="J5" s="33"/>
      <c r="K5" s="33"/>
      <c r="L5" s="33"/>
      <c r="M5" s="33"/>
      <c r="N5" s="29"/>
      <c r="O5" s="29"/>
      <c r="P5" s="33"/>
      <c r="Q5" s="33"/>
      <c r="R5" s="33"/>
      <c r="S5" s="33"/>
      <c r="T5" s="33"/>
      <c r="V5" s="7"/>
      <c r="W5" s="7"/>
      <c r="X5" s="7"/>
      <c r="Y5" s="7"/>
      <c r="Z5" s="7"/>
      <c r="AA5" s="7"/>
      <c r="AB5" s="7"/>
    </row>
    <row r="6" spans="1:35" s="85" customFormat="1" ht="22.2" customHeight="1" x14ac:dyDescent="0.3">
      <c r="A6" s="86"/>
      <c r="B6" s="105"/>
      <c r="C6" s="86"/>
      <c r="D6" s="86"/>
      <c r="E6" s="86"/>
      <c r="F6" s="86"/>
      <c r="G6" s="106"/>
      <c r="H6" s="107"/>
      <c r="I6" s="86"/>
      <c r="J6"/>
      <c r="K6"/>
      <c r="L6"/>
      <c r="M6" s="110" t="s">
        <v>4</v>
      </c>
      <c r="N6" s="110" t="s">
        <v>15</v>
      </c>
      <c r="O6" s="110" t="s">
        <v>19</v>
      </c>
      <c r="P6" s="75" t="s">
        <v>22</v>
      </c>
      <c r="Q6" s="109" t="s">
        <v>17</v>
      </c>
      <c r="V6" s="92"/>
      <c r="W6" s="92"/>
      <c r="X6" s="92"/>
      <c r="Y6" s="92"/>
      <c r="Z6" s="92"/>
      <c r="AA6" s="92"/>
      <c r="AB6" s="92"/>
    </row>
    <row r="7" spans="1:35" ht="15" thickBot="1" x14ac:dyDescent="0.35">
      <c r="B7" s="9"/>
      <c r="C7" s="14"/>
      <c r="D7" s="14" t="s">
        <v>0</v>
      </c>
      <c r="E7" s="14" t="s">
        <v>1</v>
      </c>
      <c r="F7" s="14" t="s">
        <v>2</v>
      </c>
      <c r="G7" s="14" t="s">
        <v>3</v>
      </c>
      <c r="H7" s="14" t="s">
        <v>4</v>
      </c>
      <c r="I7" s="85"/>
      <c r="J7" s="108" t="s">
        <v>20</v>
      </c>
      <c r="K7" s="116" t="s">
        <v>0</v>
      </c>
      <c r="L7" s="116" t="s">
        <v>5</v>
      </c>
      <c r="M7" s="113">
        <f>H3</f>
        <v>250</v>
      </c>
      <c r="N7" s="111" t="s">
        <v>16</v>
      </c>
      <c r="O7" s="112" t="s">
        <v>18</v>
      </c>
      <c r="P7" s="77" t="s">
        <v>23</v>
      </c>
      <c r="Q7" s="78">
        <v>42373</v>
      </c>
      <c r="R7" s="85"/>
      <c r="T7" s="5"/>
      <c r="V7" s="7"/>
      <c r="W7" s="7"/>
      <c r="X7" s="7"/>
      <c r="Y7" s="7"/>
      <c r="Z7" s="7"/>
      <c r="AA7" s="7"/>
      <c r="AB7" s="7"/>
    </row>
    <row r="8" spans="1:35" ht="15.6" customHeight="1" thickTop="1" x14ac:dyDescent="0.3">
      <c r="B8" s="9"/>
      <c r="C8" s="129">
        <v>1</v>
      </c>
      <c r="D8" s="23">
        <f>IFERROR(INDEX(DataTab,MATCH(C8,EtappenNo,0),12),"")</f>
        <v>5</v>
      </c>
      <c r="E8" s="24">
        <f>IFERROR(INDEX(DataTab,MATCH(C8,EtappenNo,0),3),"")</f>
        <v>0.73</v>
      </c>
      <c r="F8" s="22">
        <f>IFERROR(INDEX(DataTab,MATCH(C8,EtappenNo,0),14),"")</f>
        <v>8.65</v>
      </c>
      <c r="G8" s="25">
        <f>IFERROR(INDEX(DataTab,MATCH(C8,EtappenNo,0),15),"")</f>
        <v>3.65</v>
      </c>
      <c r="H8" s="17">
        <f>IFERROR(INDEX(DataTab,MATCH(C8,EtappenNo,0),16),"")</f>
        <v>250</v>
      </c>
      <c r="I8" s="47"/>
      <c r="J8" s="98">
        <f t="shared" ref="J8:J39" si="0">IF(Y8=0,"",ROW(J8)-ROW($J$7))</f>
        <v>1</v>
      </c>
      <c r="K8" s="99">
        <f t="shared" ref="K8:K26" si="1">IF(Y8=0,"",U8)</f>
        <v>5</v>
      </c>
      <c r="L8" s="100">
        <v>0.73</v>
      </c>
      <c r="M8" s="101">
        <f t="shared" ref="M8:M39" si="2">IF(AB8=0,"",AB8)</f>
        <v>299.79999999999995</v>
      </c>
      <c r="N8" s="103">
        <f t="shared" ref="N8:N39" si="3">IF(Y8=0,"",AF8)</f>
        <v>80</v>
      </c>
      <c r="O8" s="103">
        <f t="shared" ref="O8:O39" si="4">IF(Y8=0,"",ROUNDUP(N8/($Q$2*$Q$3),0))</f>
        <v>5</v>
      </c>
      <c r="P8" s="79">
        <f t="shared" ref="P8:P39" si="5">IF(Y8=0,"",(INT(N8/($S$3*$Q$3*$Q$2))*5)+INT((N8-(INT(N8/($S$3*$Q$3*$Q$2))*$S$3*$Q$3*$Q$2))/($Q$3*$Q$2)))</f>
        <v>6</v>
      </c>
      <c r="Q8" s="80">
        <f t="shared" ref="Q8:Q39" si="6">IFERROR(P8+INT((P8+MOD($Q$7-2-(MOD($Q$7,7)&lt;2)*(MOD($Q$7,7)+1),7))/5)*2+$Q$7-(MOD($Q$7,7)&lt;2)*(MOD($Q$7,7))-(MOD($Q$7,7)&lt;2),"")</f>
        <v>42381</v>
      </c>
      <c r="R8" s="95"/>
      <c r="S8" s="85"/>
      <c r="T8" s="85"/>
      <c r="U8" s="92">
        <f>E2</f>
        <v>5</v>
      </c>
      <c r="V8" s="92">
        <f>$L$8</f>
        <v>0.73</v>
      </c>
      <c r="W8" s="92">
        <f>(U8*V8)+U8</f>
        <v>8.65</v>
      </c>
      <c r="X8" s="92">
        <f>U8*V8</f>
        <v>3.65</v>
      </c>
      <c r="Y8" s="92">
        <f>H3</f>
        <v>250</v>
      </c>
      <c r="Z8" s="92">
        <f>AD8*X8</f>
        <v>189.79999999999998</v>
      </c>
      <c r="AA8" s="92">
        <f>AE8*U8*-1</f>
        <v>-140</v>
      </c>
      <c r="AB8" s="92">
        <f>IF(AC8&lt;&gt;"Nicht profitabel!",SUM(Y8:AA8),"")</f>
        <v>299.79999999999995</v>
      </c>
      <c r="AC8" s="85">
        <f>IF(ROUND(Y8*$H$2/((($K$3/(1-$K$3))*V8*U8)-U8),0)&lt;0,"Nicht profitabel!",ROUND(Y8*$H$2/((($K$3/(1-$K$3))*V8*U8)-U8),0)+ROUND(($K$3/(1-$K$3))*ROUND(Y8*$H$2/((($K$3/(1-$K$3))*V8*U8)-U8),0),0))</f>
        <v>80</v>
      </c>
      <c r="AD8">
        <f>IF(ROUND(($K$3/(1-$K$3))*ROUND(Y8*$H$2/((($K$3/(1-$K$3))*V8*U8)-U8),0),0)&gt;=0,ROUND(($K$3/(1-$K$3))*ROUND(Y8*$H$2/((($K$3/(1-$K$3))*V8*U8)-U8),0),0),0)</f>
        <v>52</v>
      </c>
      <c r="AE8">
        <f>IF(ROUND(Y8*$H$2/((($K$3/(1-$K$3))*V8*U8)-U8),0)&gt;=0,ROUND(Y8*$H$2/((($K$3/(1-$K$3))*V8*U8)-U8),0),0)</f>
        <v>28</v>
      </c>
      <c r="AF8">
        <f>IF(AC8&lt;&gt;"Nicht profitabel!",AC8,0)</f>
        <v>80</v>
      </c>
      <c r="AG8" s="97" t="str">
        <f>IFERROR(INT(AC8/($S$3*$Q$3*$Q$2)) &amp; " w   " &amp; INT((AC8-(INT(AC8/($S$3*$Q$3*$Q$2))*$S$3*$Q$3*$Q$2))/($Q$3*$Q$2)) &amp; " d   " &amp; ROUNDUP((AC8-(INT(AC8/($S$3*$Q$3*$Q$2))*$S$3*$Q$3*$Q$2)-(INT((AC8-(INT(AC8/($S$3*$Q$3*$Q$2))*$S$3*$Q$3*$Q$2))/($Q$3*$Q$2))*$Q$2*$Q$3))/$Q$2,0) &amp; " h","")</f>
        <v>1 w   1 d   2 h</v>
      </c>
      <c r="AI8">
        <v>1</v>
      </c>
    </row>
    <row r="9" spans="1:35" ht="15.6" x14ac:dyDescent="0.3">
      <c r="C9" s="130"/>
      <c r="D9" s="62" t="s">
        <v>6</v>
      </c>
      <c r="E9" s="127">
        <f>IFERROR(INDEX(DataTab,MATCH(C8,EtappenNo,0),20),"")</f>
        <v>80</v>
      </c>
      <c r="F9" s="26">
        <f>IFERROR(INDEX(DataTab,MATCH(C8,EtappenNo,0),21),"")</f>
        <v>52</v>
      </c>
      <c r="G9" s="16" t="str">
        <f>"gewonnen (" &amp; $K$3*100 &amp; "%): "</f>
        <v xml:space="preserve">gewonnen (65%): </v>
      </c>
      <c r="H9" s="18">
        <f>IFERROR(INDEX(DataTab,MATCH(C8,EtappenNo,0),17),"")</f>
        <v>189.79999999999998</v>
      </c>
      <c r="I9" s="47"/>
      <c r="J9" s="83">
        <f t="shared" si="0"/>
        <v>2</v>
      </c>
      <c r="K9" s="58">
        <f t="shared" si="1"/>
        <v>6</v>
      </c>
      <c r="L9" s="59">
        <v>0.72</v>
      </c>
      <c r="M9" s="102">
        <f t="shared" si="2"/>
        <v>361.72</v>
      </c>
      <c r="N9" s="104">
        <f t="shared" si="3"/>
        <v>166</v>
      </c>
      <c r="O9" s="104">
        <f t="shared" si="4"/>
        <v>10</v>
      </c>
      <c r="P9" s="76">
        <f t="shared" si="5"/>
        <v>15</v>
      </c>
      <c r="Q9" s="96">
        <f t="shared" si="6"/>
        <v>42394</v>
      </c>
      <c r="R9" s="95"/>
      <c r="S9" s="85"/>
      <c r="T9" s="85"/>
      <c r="U9" s="92">
        <f>IF(U8+(U8*$H$2)&lt;=$E$3,U8+(U8*$H$2),$E$3)</f>
        <v>6</v>
      </c>
      <c r="V9" s="92">
        <f>L9</f>
        <v>0.72</v>
      </c>
      <c r="W9" s="92">
        <f t="shared" ref="W9" si="7">(U9*V9)+U9</f>
        <v>10.32</v>
      </c>
      <c r="X9" s="92">
        <f t="shared" ref="X9" si="8">U9*V9</f>
        <v>4.32</v>
      </c>
      <c r="Y9" s="92">
        <f>IF(AB8&lt;99999999,AB8,0)</f>
        <v>299.79999999999995</v>
      </c>
      <c r="Z9" s="92">
        <f>AD9*X9</f>
        <v>241.92000000000002</v>
      </c>
      <c r="AA9" s="92">
        <f>AE9*U9*-1</f>
        <v>-180</v>
      </c>
      <c r="AB9" s="92">
        <f>IF(AC9&lt;&gt;"Nicht profitabel!",SUM(Y9:AA9),"")</f>
        <v>361.72</v>
      </c>
      <c r="AC9" s="85">
        <f>IF(ROUND(Y9*$H$2/((($K$3/(1-$K$3))*V9*U9)-U9),0)&lt;0,"Nicht profitabel!",ROUND(Y9*$H$2/((($K$3/(1-$K$3))*V9*U9)-U9),0)+ROUND(($K$3/(1-$K$3))*ROUND(Y9*$H$2/((($K$3/(1-$K$3))*V9*U9)-U9),0),0))</f>
        <v>86</v>
      </c>
      <c r="AD9">
        <f>IF(ROUND(($K$3/(1-$K$3))*ROUND(Y9*$H$2/((($K$3/(1-$K$3))*V9*U9)-U9),0),0)&gt;=0,ROUND(($K$3/(1-$K$3))*ROUND(Y9*$H$2/((($K$3/(1-$K$3))*V9*U9)-U9),0),0),0)</f>
        <v>56</v>
      </c>
      <c r="AE9">
        <f>IF(ROUND(Y9*$H$2/((($K$3/(1-$K$3))*V9*U9)-U9),0)&gt;=0,ROUND(Y9*$H$2/((($K$3/(1-$K$3))*V9*U9)-U9),0),0)</f>
        <v>30</v>
      </c>
      <c r="AF9">
        <f>SUM($AC$8:AC9)</f>
        <v>166</v>
      </c>
      <c r="AG9" s="97" t="str">
        <f>IFERROR(INT(AC9/($S$3*$Q$3*$Q$2)) &amp; " w   " &amp; INT((AC9-(INT(AC9/($S$3*$Q$3*$Q$2))*$S$3*$Q$3*$Q$2))/($Q$3*$Q$2)) &amp; " d   " &amp; ROUNDUP((AC9-(INT(AC9/($S$3*$Q$3*$Q$2))*$S$3*$Q$3*$Q$2)-(INT((AC9-(INT(AC9/($S$3*$Q$3*$Q$2))*$S$3*$Q$3*$Q$2))/($Q$3*$Q$2))*$Q$2*$Q$3))/$Q$2,0) &amp; " h","")</f>
        <v>1 w   1 d   3 h</v>
      </c>
      <c r="AI9">
        <v>21</v>
      </c>
    </row>
    <row r="10" spans="1:35" ht="16.2" thickBot="1" x14ac:dyDescent="0.35">
      <c r="C10" s="130"/>
      <c r="D10" s="123" t="s">
        <v>7</v>
      </c>
      <c r="E10" s="132"/>
      <c r="F10" s="27">
        <f>IFERROR(INDEX(DataTab,MATCH(C8,EtappenNo,0),22),"")</f>
        <v>28</v>
      </c>
      <c r="G10" s="15" t="str">
        <f xml:space="preserve"> " verloren (" &amp; (1-$K$3)*100 &amp; "%): "</f>
        <v xml:space="preserve"> verloren (35%): </v>
      </c>
      <c r="H10" s="19">
        <f>IFERROR(INDEX(DataTab,MATCH(C8,EtappenNo,0),18),"")</f>
        <v>-140</v>
      </c>
      <c r="I10" s="88"/>
      <c r="J10" s="83">
        <f t="shared" si="0"/>
        <v>3</v>
      </c>
      <c r="K10" s="58">
        <f t="shared" si="1"/>
        <v>7.2</v>
      </c>
      <c r="L10" s="59">
        <v>0.73</v>
      </c>
      <c r="M10" s="102">
        <f t="shared" si="2"/>
        <v>433.43200000000002</v>
      </c>
      <c r="N10" s="104">
        <f t="shared" si="3"/>
        <v>246</v>
      </c>
      <c r="O10" s="104">
        <f t="shared" si="4"/>
        <v>14</v>
      </c>
      <c r="P10" s="76">
        <f t="shared" si="5"/>
        <v>21</v>
      </c>
      <c r="Q10" s="96">
        <f t="shared" si="6"/>
        <v>42402</v>
      </c>
      <c r="R10" s="95"/>
      <c r="S10" s="85"/>
      <c r="T10" s="85"/>
      <c r="U10" s="92">
        <f t="shared" ref="U10:U26" si="9">IF(U9+(U9*$H$2)&lt;=$E$3,U9+(U9*$H$2),$E$3)</f>
        <v>7.2</v>
      </c>
      <c r="V10" s="92">
        <f t="shared" ref="V10:V27" si="10">L10</f>
        <v>0.73</v>
      </c>
      <c r="W10" s="92">
        <f t="shared" ref="W10:W27" si="11">(U10*V10)+U10</f>
        <v>12.456</v>
      </c>
      <c r="X10" s="92">
        <f t="shared" ref="X10:X27" si="12">U10*V10</f>
        <v>5.2560000000000002</v>
      </c>
      <c r="Y10" s="92">
        <f t="shared" ref="Y10:Y73" si="13">IF(AB9&lt;99999999,AB9,0)</f>
        <v>361.72</v>
      </c>
      <c r="Z10" s="92">
        <f t="shared" ref="Z10:Z27" si="14">AD10*X10</f>
        <v>273.31200000000001</v>
      </c>
      <c r="AA10" s="92">
        <f t="shared" ref="AA10:AA27" si="15">AE10*U10*-1</f>
        <v>-201.6</v>
      </c>
      <c r="AB10" s="92">
        <f t="shared" ref="AB10:AB73" si="16">IF(AC10&lt;&gt;"Nicht profitabel!",SUM(Y10:AA10),"")</f>
        <v>433.43200000000002</v>
      </c>
      <c r="AC10" s="85">
        <f t="shared" ref="AC10:AC27" si="17">IF(ROUND(Y10*$H$2/((($K$3/(1-$K$3))*V10*U10)-U10),0)&lt;0,"Nicht profitabel!",ROUND(Y10*$H$2/((($K$3/(1-$K$3))*V10*U10)-U10),0)+ROUND(($K$3/(1-$K$3))*ROUND(Y10*$H$2/((($K$3/(1-$K$3))*V10*U10)-U10),0),0))</f>
        <v>80</v>
      </c>
      <c r="AD10">
        <f t="shared" ref="AD10:AD27" si="18">IF(ROUND(($K$3/(1-$K$3))*ROUND(Y10*$H$2/((($K$3/(1-$K$3))*V10*U10)-U10),0),0)&gt;=0,ROUND(($K$3/(1-$K$3))*ROUND(Y10*$H$2/((($K$3/(1-$K$3))*V10*U10)-U10),0),0),0)</f>
        <v>52</v>
      </c>
      <c r="AE10">
        <f t="shared" ref="AE10:AE27" si="19">IF(ROUND(Y10*$H$2/((($K$3/(1-$K$3))*V10*U10)-U10),0)&gt;=0,ROUND(Y10*$H$2/((($K$3/(1-$K$3))*V10*U10)-U10),0),0)</f>
        <v>28</v>
      </c>
      <c r="AF10">
        <f>SUM($AC$8:AC10)</f>
        <v>246</v>
      </c>
      <c r="AG10" s="97" t="str">
        <f t="shared" ref="AG10:AG27" si="20">IFERROR(INT(AC10/($S$3*$Q$3*$Q$2)) &amp; " w   " &amp; INT((AC10-(INT(AC10/($S$3*$Q$3*$Q$2))*$S$3*$Q$3*$Q$2))/($Q$3*$Q$2)) &amp; " d   " &amp; ROUNDUP((AC10-(INT(AC10/($S$3*$Q$3*$Q$2))*$S$3*$Q$3*$Q$2)-(INT((AC10-(INT(AC10/($S$3*$Q$3*$Q$2))*$S$3*$Q$3*$Q$2))/($Q$3*$Q$2))*$Q$2*$Q$3))/$Q$2,0) &amp; " h","")</f>
        <v>1 w   1 d   2 h</v>
      </c>
      <c r="AI10">
        <v>41</v>
      </c>
    </row>
    <row r="11" spans="1:35" ht="16.8" thickTop="1" thickBot="1" x14ac:dyDescent="0.35">
      <c r="C11" s="131"/>
      <c r="D11" s="122" t="s">
        <v>14</v>
      </c>
      <c r="E11" s="63" t="str">
        <f>IFERROR(INDEX(DataTab,MATCH(C8,EtappenNo,0),24),"")</f>
        <v>1 w   1 d   2 h</v>
      </c>
      <c r="F11" s="20"/>
      <c r="G11" s="21" t="str">
        <f>IFERROR("Budget nach " &amp; INDEX(DataTab,MATCH(C8,EtappenNo,0),23) &amp; " trades: ","")</f>
        <v xml:space="preserve">Budget nach 80 trades: </v>
      </c>
      <c r="H11" s="28">
        <f>IFERROR(INDEX(DataTab,MATCH(C8,EtappenNo,0),19),"")</f>
        <v>299.79999999999995</v>
      </c>
      <c r="I11" s="89" t="str">
        <f>IFERROR("(+ " &amp; ROUND(((H11/H8)-1)*100,0) &amp; "%)","")</f>
        <v>(+ 20%)</v>
      </c>
      <c r="J11" s="83">
        <f t="shared" si="0"/>
        <v>4</v>
      </c>
      <c r="K11" s="58">
        <f t="shared" si="1"/>
        <v>8.64</v>
      </c>
      <c r="L11" s="59">
        <v>0.71</v>
      </c>
      <c r="M11" s="102">
        <f t="shared" si="2"/>
        <v>521.38720000000001</v>
      </c>
      <c r="N11" s="104">
        <f t="shared" si="3"/>
        <v>335</v>
      </c>
      <c r="O11" s="104">
        <f t="shared" si="4"/>
        <v>19</v>
      </c>
      <c r="P11" s="76">
        <f t="shared" si="5"/>
        <v>30</v>
      </c>
      <c r="Q11" s="96">
        <f t="shared" si="6"/>
        <v>42415</v>
      </c>
      <c r="R11" s="95"/>
      <c r="S11" s="85"/>
      <c r="T11" s="85"/>
      <c r="U11" s="92">
        <f t="shared" si="9"/>
        <v>8.64</v>
      </c>
      <c r="V11" s="92">
        <f t="shared" si="10"/>
        <v>0.71</v>
      </c>
      <c r="W11" s="92">
        <f t="shared" si="11"/>
        <v>14.7744</v>
      </c>
      <c r="X11" s="92">
        <f t="shared" si="12"/>
        <v>6.1344000000000003</v>
      </c>
      <c r="Y11" s="92">
        <f t="shared" si="13"/>
        <v>433.43200000000002</v>
      </c>
      <c r="Z11" s="92">
        <f t="shared" si="14"/>
        <v>355.79520000000002</v>
      </c>
      <c r="AA11" s="92">
        <f t="shared" si="15"/>
        <v>-267.84000000000003</v>
      </c>
      <c r="AB11" s="92">
        <f t="shared" si="16"/>
        <v>521.38720000000001</v>
      </c>
      <c r="AC11" s="85">
        <f t="shared" si="17"/>
        <v>89</v>
      </c>
      <c r="AD11">
        <f t="shared" si="18"/>
        <v>58</v>
      </c>
      <c r="AE11">
        <f t="shared" si="19"/>
        <v>31</v>
      </c>
      <c r="AF11">
        <f>SUM($AC$8:AC11)</f>
        <v>335</v>
      </c>
      <c r="AG11" s="97" t="str">
        <f t="shared" si="20"/>
        <v>1 w   1 d   3 h</v>
      </c>
      <c r="AI11">
        <v>61</v>
      </c>
    </row>
    <row r="12" spans="1:35" ht="15" thickBot="1" x14ac:dyDescent="0.35">
      <c r="C12" s="9"/>
      <c r="D12" s="10"/>
      <c r="E12" s="11"/>
      <c r="F12" s="10"/>
      <c r="G12" s="12"/>
      <c r="H12" s="8"/>
      <c r="I12" s="90"/>
      <c r="J12" s="83">
        <f t="shared" si="0"/>
        <v>5</v>
      </c>
      <c r="K12" s="58">
        <f t="shared" si="1"/>
        <v>10.368</v>
      </c>
      <c r="L12" s="59">
        <v>0.75</v>
      </c>
      <c r="M12" s="102">
        <f t="shared" si="2"/>
        <v>625.06719999999996</v>
      </c>
      <c r="N12" s="104">
        <f t="shared" si="3"/>
        <v>409</v>
      </c>
      <c r="O12" s="104">
        <f t="shared" si="4"/>
        <v>23</v>
      </c>
      <c r="P12" s="76">
        <f t="shared" si="5"/>
        <v>36</v>
      </c>
      <c r="Q12" s="96">
        <f t="shared" si="6"/>
        <v>42423</v>
      </c>
      <c r="R12" s="95"/>
      <c r="S12" s="93"/>
      <c r="T12" s="93"/>
      <c r="U12" s="92">
        <f t="shared" si="9"/>
        <v>10.368</v>
      </c>
      <c r="V12" s="92">
        <f t="shared" si="10"/>
        <v>0.75</v>
      </c>
      <c r="W12" s="92">
        <f t="shared" si="11"/>
        <v>18.143999999999998</v>
      </c>
      <c r="X12" s="92">
        <f t="shared" si="12"/>
        <v>7.7759999999999998</v>
      </c>
      <c r="Y12" s="92">
        <f t="shared" si="13"/>
        <v>521.38720000000001</v>
      </c>
      <c r="Z12" s="92">
        <f t="shared" si="14"/>
        <v>373.24799999999999</v>
      </c>
      <c r="AA12" s="92">
        <f t="shared" si="15"/>
        <v>-269.56799999999998</v>
      </c>
      <c r="AB12" s="92">
        <f t="shared" si="16"/>
        <v>625.06719999999996</v>
      </c>
      <c r="AC12" s="85">
        <f t="shared" si="17"/>
        <v>74</v>
      </c>
      <c r="AD12">
        <f t="shared" si="18"/>
        <v>48</v>
      </c>
      <c r="AE12">
        <f t="shared" si="19"/>
        <v>26</v>
      </c>
      <c r="AF12">
        <f>SUM($AC$8:AC12)</f>
        <v>409</v>
      </c>
      <c r="AG12" s="97" t="str">
        <f t="shared" si="20"/>
        <v>1 w   1 d   1 h</v>
      </c>
      <c r="AI12">
        <v>81</v>
      </c>
    </row>
    <row r="13" spans="1:35" ht="14.4" customHeight="1" x14ac:dyDescent="0.3">
      <c r="C13" s="124">
        <f>C8+1</f>
        <v>2</v>
      </c>
      <c r="D13" s="23">
        <f>IFERROR(INDEX(DataTab,MATCH(C13,EtappenNo,0),12),"")</f>
        <v>6</v>
      </c>
      <c r="E13" s="24">
        <f>IFERROR(INDEX(DataTab,MATCH(C13,EtappenNo,0),3),"")</f>
        <v>0.72</v>
      </c>
      <c r="F13" s="22">
        <f>IFERROR(INDEX(DataTab,MATCH(C13,EtappenNo,0),14),"")</f>
        <v>10.32</v>
      </c>
      <c r="G13" s="25">
        <f>IFERROR(INDEX(DataTab,MATCH(C13,EtappenNo,0),15),"")</f>
        <v>4.32</v>
      </c>
      <c r="H13" s="87">
        <f>IFERROR(INDEX(DataTab,MATCH(C13,EtappenNo,0),16),"")</f>
        <v>299.79999999999995</v>
      </c>
      <c r="I13" s="90"/>
      <c r="J13" s="83">
        <f t="shared" si="0"/>
        <v>6</v>
      </c>
      <c r="K13" s="58">
        <f t="shared" si="1"/>
        <v>12.441600000000001</v>
      </c>
      <c r="L13" s="59">
        <v>0.72</v>
      </c>
      <c r="M13" s="102">
        <f t="shared" si="2"/>
        <v>753.46451200000001</v>
      </c>
      <c r="N13" s="104">
        <f t="shared" si="3"/>
        <v>495</v>
      </c>
      <c r="O13" s="104">
        <f t="shared" si="4"/>
        <v>28</v>
      </c>
      <c r="P13" s="76">
        <f t="shared" si="5"/>
        <v>45</v>
      </c>
      <c r="Q13" s="96">
        <f t="shared" si="6"/>
        <v>42436</v>
      </c>
      <c r="R13" s="95"/>
      <c r="S13" s="94"/>
      <c r="T13" s="85"/>
      <c r="U13" s="92">
        <f t="shared" si="9"/>
        <v>12.441600000000001</v>
      </c>
      <c r="V13" s="92">
        <f t="shared" si="10"/>
        <v>0.72</v>
      </c>
      <c r="W13" s="92">
        <f t="shared" si="11"/>
        <v>21.399552</v>
      </c>
      <c r="X13" s="92">
        <f t="shared" si="12"/>
        <v>8.9579520000000006</v>
      </c>
      <c r="Y13" s="92">
        <f t="shared" si="13"/>
        <v>625.06719999999996</v>
      </c>
      <c r="Z13" s="92">
        <f t="shared" si="14"/>
        <v>501.64531200000005</v>
      </c>
      <c r="AA13" s="92">
        <f t="shared" si="15"/>
        <v>-373.24800000000005</v>
      </c>
      <c r="AB13" s="92">
        <f t="shared" si="16"/>
        <v>753.46451200000001</v>
      </c>
      <c r="AC13" s="85">
        <f t="shared" si="17"/>
        <v>86</v>
      </c>
      <c r="AD13">
        <f t="shared" si="18"/>
        <v>56</v>
      </c>
      <c r="AE13">
        <f t="shared" si="19"/>
        <v>30</v>
      </c>
      <c r="AF13">
        <f>SUM($AC$8:AC13)</f>
        <v>495</v>
      </c>
      <c r="AG13" s="97" t="str">
        <f t="shared" si="20"/>
        <v>1 w   1 d   3 h</v>
      </c>
    </row>
    <row r="14" spans="1:35" ht="15.6" x14ac:dyDescent="0.3">
      <c r="C14" s="125"/>
      <c r="D14" s="62" t="s">
        <v>6</v>
      </c>
      <c r="E14" s="127">
        <f>IFERROR(INDEX(DataTab,MATCH(C13,EtappenNo,0),20),"")</f>
        <v>86</v>
      </c>
      <c r="F14" s="26">
        <f>IFERROR(INDEX(DataTab,MATCH(C13,EtappenNo,0),21),"")</f>
        <v>56</v>
      </c>
      <c r="G14" s="16" t="str">
        <f>"gewonnen (" &amp; $K$3*100 &amp; "%): "</f>
        <v xml:space="preserve">gewonnen (65%): </v>
      </c>
      <c r="H14" s="18">
        <f>IFERROR(INDEX(DataTab,MATCH(C13,EtappenNo,0),17),"")</f>
        <v>241.92000000000002</v>
      </c>
      <c r="I14" s="90"/>
      <c r="J14" s="83">
        <f t="shared" si="0"/>
        <v>7</v>
      </c>
      <c r="K14" s="58">
        <f t="shared" si="1"/>
        <v>14.929920000000001</v>
      </c>
      <c r="L14" s="59">
        <v>0.72</v>
      </c>
      <c r="M14" s="102">
        <f t="shared" si="2"/>
        <v>907.54128640000022</v>
      </c>
      <c r="N14" s="104">
        <f t="shared" si="3"/>
        <v>581</v>
      </c>
      <c r="O14" s="104">
        <f t="shared" si="4"/>
        <v>33</v>
      </c>
      <c r="P14" s="76">
        <f t="shared" si="5"/>
        <v>52</v>
      </c>
      <c r="Q14" s="96">
        <f t="shared" si="6"/>
        <v>42445</v>
      </c>
      <c r="R14" s="95"/>
      <c r="S14" s="85"/>
      <c r="T14" s="94"/>
      <c r="U14" s="92">
        <f t="shared" si="9"/>
        <v>14.929920000000001</v>
      </c>
      <c r="V14" s="92">
        <f t="shared" si="10"/>
        <v>0.72</v>
      </c>
      <c r="W14" s="92">
        <f t="shared" si="11"/>
        <v>25.679462400000002</v>
      </c>
      <c r="X14" s="92">
        <f t="shared" si="12"/>
        <v>10.749542400000001</v>
      </c>
      <c r="Y14" s="92">
        <f t="shared" si="13"/>
        <v>753.46451200000001</v>
      </c>
      <c r="Z14" s="92">
        <f t="shared" si="14"/>
        <v>601.9743744000001</v>
      </c>
      <c r="AA14" s="92">
        <f t="shared" si="15"/>
        <v>-447.89760000000001</v>
      </c>
      <c r="AB14" s="92">
        <f t="shared" si="16"/>
        <v>907.54128640000022</v>
      </c>
      <c r="AC14" s="85">
        <f t="shared" si="17"/>
        <v>86</v>
      </c>
      <c r="AD14">
        <f t="shared" si="18"/>
        <v>56</v>
      </c>
      <c r="AE14">
        <f t="shared" si="19"/>
        <v>30</v>
      </c>
      <c r="AF14">
        <f>SUM($AC$8:AC14)</f>
        <v>581</v>
      </c>
      <c r="AG14" s="97" t="str">
        <f t="shared" si="20"/>
        <v>1 w   1 d   3 h</v>
      </c>
    </row>
    <row r="15" spans="1:35" ht="16.2" thickBot="1" x14ac:dyDescent="0.35">
      <c r="C15" s="125"/>
      <c r="D15" s="123" t="s">
        <v>7</v>
      </c>
      <c r="E15" s="128"/>
      <c r="F15" s="27">
        <f>IFERROR(INDEX(DataTab,MATCH(C13,EtappenNo,0),22),"")</f>
        <v>30</v>
      </c>
      <c r="G15" s="15" t="str">
        <f xml:space="preserve"> " verloren (" &amp; (1-$K$3)*100 &amp; "%): "</f>
        <v xml:space="preserve"> verloren (35%): </v>
      </c>
      <c r="H15" s="19">
        <f>IFERROR(INDEX(DataTab,MATCH(C13,EtappenNo,0),18),"")</f>
        <v>-180</v>
      </c>
      <c r="I15" s="90"/>
      <c r="J15" s="83">
        <f t="shared" si="0"/>
        <v>8</v>
      </c>
      <c r="K15" s="58">
        <f t="shared" si="1"/>
        <v>17.915904000000001</v>
      </c>
      <c r="L15" s="59">
        <v>0.71</v>
      </c>
      <c r="M15" s="102">
        <f t="shared" si="2"/>
        <v>1084.72957696</v>
      </c>
      <c r="N15" s="104">
        <f t="shared" si="3"/>
        <v>672</v>
      </c>
      <c r="O15" s="104">
        <f t="shared" si="4"/>
        <v>38</v>
      </c>
      <c r="P15" s="76">
        <f t="shared" si="5"/>
        <v>61</v>
      </c>
      <c r="Q15" s="96">
        <f t="shared" si="6"/>
        <v>42458</v>
      </c>
      <c r="R15" s="95"/>
      <c r="S15" s="85"/>
      <c r="T15" s="85"/>
      <c r="U15" s="92">
        <f t="shared" si="9"/>
        <v>17.915904000000001</v>
      </c>
      <c r="V15" s="92">
        <f t="shared" si="10"/>
        <v>0.71</v>
      </c>
      <c r="W15" s="92">
        <f t="shared" si="11"/>
        <v>30.636195839999999</v>
      </c>
      <c r="X15" s="92">
        <f t="shared" si="12"/>
        <v>12.72029184</v>
      </c>
      <c r="Y15" s="92">
        <f t="shared" si="13"/>
        <v>907.54128640000022</v>
      </c>
      <c r="Z15" s="92">
        <f t="shared" si="14"/>
        <v>750.49721855999996</v>
      </c>
      <c r="AA15" s="92">
        <f t="shared" si="15"/>
        <v>-573.30892800000004</v>
      </c>
      <c r="AB15" s="92">
        <f t="shared" si="16"/>
        <v>1084.72957696</v>
      </c>
      <c r="AC15" s="85">
        <f t="shared" si="17"/>
        <v>91</v>
      </c>
      <c r="AD15">
        <f t="shared" si="18"/>
        <v>59</v>
      </c>
      <c r="AE15">
        <f t="shared" si="19"/>
        <v>32</v>
      </c>
      <c r="AF15">
        <f>SUM($AC$8:AC15)</f>
        <v>672</v>
      </c>
      <c r="AG15" s="97" t="str">
        <f t="shared" si="20"/>
        <v>1 w   2 d   1 h</v>
      </c>
    </row>
    <row r="16" spans="1:35" ht="16.8" thickTop="1" thickBot="1" x14ac:dyDescent="0.35">
      <c r="C16" s="126"/>
      <c r="D16" s="122" t="s">
        <v>14</v>
      </c>
      <c r="E16" s="63" t="str">
        <f>IFERROR(INDEX(DataTab,MATCH(C13,EtappenNo,0),24),"")</f>
        <v>1 w   1 d   3 h</v>
      </c>
      <c r="F16" s="20"/>
      <c r="G16" s="21" t="str">
        <f>IFERROR("Budget nach " &amp; INDEX(DataTab,MATCH(C13,EtappenNo,0),23) &amp; " trades: ","")</f>
        <v xml:space="preserve">Budget nach 166 trades: </v>
      </c>
      <c r="H16" s="28">
        <f>IFERROR(INDEX(DataTab,MATCH(C13,EtappenNo,0),19),"")</f>
        <v>361.72</v>
      </c>
      <c r="I16" s="89" t="str">
        <f>IFERROR("(+ " &amp; ROUND(((H16/H13)-1)*100,0) &amp; "%)","")</f>
        <v>(+ 21%)</v>
      </c>
      <c r="J16" s="83">
        <f t="shared" si="0"/>
        <v>9</v>
      </c>
      <c r="K16" s="58">
        <f t="shared" si="1"/>
        <v>21.499084800000002</v>
      </c>
      <c r="L16" s="59">
        <v>0.72</v>
      </c>
      <c r="M16" s="102">
        <f t="shared" si="2"/>
        <v>1306.6001320959999</v>
      </c>
      <c r="N16" s="104">
        <f t="shared" si="3"/>
        <v>758</v>
      </c>
      <c r="O16" s="104">
        <f t="shared" si="4"/>
        <v>43</v>
      </c>
      <c r="P16" s="76">
        <f t="shared" si="5"/>
        <v>70</v>
      </c>
      <c r="Q16" s="96">
        <f t="shared" si="6"/>
        <v>42471</v>
      </c>
      <c r="R16" s="95"/>
      <c r="S16" s="85"/>
      <c r="T16" s="85"/>
      <c r="U16" s="92">
        <f t="shared" si="9"/>
        <v>21.499084800000002</v>
      </c>
      <c r="V16" s="92">
        <f t="shared" si="10"/>
        <v>0.72</v>
      </c>
      <c r="W16" s="92">
        <f t="shared" si="11"/>
        <v>36.978425856000001</v>
      </c>
      <c r="X16" s="92">
        <f t="shared" si="12"/>
        <v>15.479341056000001</v>
      </c>
      <c r="Y16" s="92">
        <f t="shared" si="13"/>
        <v>1084.72957696</v>
      </c>
      <c r="Z16" s="92">
        <f t="shared" si="14"/>
        <v>866.84309913600009</v>
      </c>
      <c r="AA16" s="92">
        <f t="shared" si="15"/>
        <v>-644.97254400000008</v>
      </c>
      <c r="AB16" s="92">
        <f t="shared" si="16"/>
        <v>1306.6001320959999</v>
      </c>
      <c r="AC16" s="85">
        <f t="shared" si="17"/>
        <v>86</v>
      </c>
      <c r="AD16">
        <f t="shared" si="18"/>
        <v>56</v>
      </c>
      <c r="AE16">
        <f t="shared" si="19"/>
        <v>30</v>
      </c>
      <c r="AF16">
        <f>SUM($AC$8:AC16)</f>
        <v>758</v>
      </c>
      <c r="AG16" s="97" t="str">
        <f t="shared" si="20"/>
        <v>1 w   1 d   3 h</v>
      </c>
    </row>
    <row r="17" spans="3:33" ht="15" thickBot="1" x14ac:dyDescent="0.35">
      <c r="C17" s="4"/>
      <c r="D17" s="2"/>
      <c r="E17" s="1"/>
      <c r="F17" s="2"/>
      <c r="G17" s="2"/>
      <c r="H17" s="3"/>
      <c r="I17" s="90"/>
      <c r="J17" s="83">
        <f t="shared" si="0"/>
        <v>10</v>
      </c>
      <c r="K17" s="58">
        <f t="shared" si="1"/>
        <v>25.798901760000003</v>
      </c>
      <c r="L17" s="59">
        <v>0.72</v>
      </c>
      <c r="M17" s="102">
        <f t="shared" si="2"/>
        <v>1572.8447982592002</v>
      </c>
      <c r="N17" s="104">
        <f t="shared" si="3"/>
        <v>844</v>
      </c>
      <c r="O17" s="104">
        <f t="shared" si="4"/>
        <v>47</v>
      </c>
      <c r="P17" s="76">
        <f t="shared" si="5"/>
        <v>76</v>
      </c>
      <c r="Q17" s="96">
        <f t="shared" si="6"/>
        <v>42479</v>
      </c>
      <c r="R17" s="95"/>
      <c r="S17" s="85"/>
      <c r="T17" s="85"/>
      <c r="U17" s="92">
        <f t="shared" si="9"/>
        <v>25.798901760000003</v>
      </c>
      <c r="V17" s="92">
        <f t="shared" si="10"/>
        <v>0.72</v>
      </c>
      <c r="W17" s="92">
        <f t="shared" si="11"/>
        <v>44.374111027200001</v>
      </c>
      <c r="X17" s="92">
        <f t="shared" si="12"/>
        <v>18.575209267200002</v>
      </c>
      <c r="Y17" s="92">
        <f t="shared" si="13"/>
        <v>1306.6001320959999</v>
      </c>
      <c r="Z17" s="92">
        <f t="shared" si="14"/>
        <v>1040.2117189632002</v>
      </c>
      <c r="AA17" s="92">
        <f t="shared" si="15"/>
        <v>-773.96705280000015</v>
      </c>
      <c r="AB17" s="92">
        <f t="shared" si="16"/>
        <v>1572.8447982592002</v>
      </c>
      <c r="AC17" s="85">
        <f t="shared" si="17"/>
        <v>86</v>
      </c>
      <c r="AD17">
        <f t="shared" si="18"/>
        <v>56</v>
      </c>
      <c r="AE17">
        <f t="shared" si="19"/>
        <v>30</v>
      </c>
      <c r="AF17">
        <f>SUM($AC$8:AC17)</f>
        <v>844</v>
      </c>
      <c r="AG17" s="97" t="str">
        <f t="shared" si="20"/>
        <v>1 w   1 d   3 h</v>
      </c>
    </row>
    <row r="18" spans="3:33" ht="15.6" customHeight="1" x14ac:dyDescent="0.3">
      <c r="C18" s="124">
        <f>C13+1</f>
        <v>3</v>
      </c>
      <c r="D18" s="23">
        <f>IFERROR(INDEX(DataTab,MATCH(C18,EtappenNo,0),12),"")</f>
        <v>7.2</v>
      </c>
      <c r="E18" s="24">
        <f>IFERROR(INDEX(DataTab,MATCH(C18,EtappenNo,0),3),"")</f>
        <v>0.73</v>
      </c>
      <c r="F18" s="22">
        <f>IFERROR(INDEX(DataTab,MATCH(C18,EtappenNo,0),14),"")</f>
        <v>12.456</v>
      </c>
      <c r="G18" s="25">
        <f>IFERROR(INDEX(DataTab,MATCH(C18,EtappenNo,0),15),"")</f>
        <v>5.2560000000000002</v>
      </c>
      <c r="H18" s="87">
        <f>IFERROR(INDEX(DataTab,MATCH(C18,EtappenNo,0),16),"")</f>
        <v>361.72</v>
      </c>
      <c r="I18" s="90"/>
      <c r="J18" s="83">
        <f t="shared" si="0"/>
        <v>11</v>
      </c>
      <c r="K18" s="58">
        <f t="shared" si="1"/>
        <v>30.958682112000005</v>
      </c>
      <c r="L18" s="59">
        <v>0.72</v>
      </c>
      <c r="M18" s="102">
        <f t="shared" si="2"/>
        <v>1892.3383976550406</v>
      </c>
      <c r="N18" s="104">
        <f t="shared" si="3"/>
        <v>930</v>
      </c>
      <c r="O18" s="104">
        <f t="shared" si="4"/>
        <v>52</v>
      </c>
      <c r="P18" s="76">
        <f t="shared" si="5"/>
        <v>85</v>
      </c>
      <c r="Q18" s="96">
        <f t="shared" si="6"/>
        <v>42492</v>
      </c>
      <c r="R18" s="95"/>
      <c r="S18" s="85"/>
      <c r="T18" s="85"/>
      <c r="U18" s="92">
        <f t="shared" si="9"/>
        <v>30.958682112000005</v>
      </c>
      <c r="V18" s="92">
        <f t="shared" si="10"/>
        <v>0.72</v>
      </c>
      <c r="W18" s="92">
        <f t="shared" si="11"/>
        <v>53.248933232640013</v>
      </c>
      <c r="X18" s="92">
        <f t="shared" si="12"/>
        <v>22.290251120640004</v>
      </c>
      <c r="Y18" s="92">
        <f t="shared" si="13"/>
        <v>1572.8447982592002</v>
      </c>
      <c r="Z18" s="92">
        <f t="shared" si="14"/>
        <v>1248.2540627558403</v>
      </c>
      <c r="AA18" s="92">
        <f t="shared" si="15"/>
        <v>-928.76046336000013</v>
      </c>
      <c r="AB18" s="92">
        <f t="shared" si="16"/>
        <v>1892.3383976550406</v>
      </c>
      <c r="AC18" s="85">
        <f t="shared" si="17"/>
        <v>86</v>
      </c>
      <c r="AD18">
        <f t="shared" si="18"/>
        <v>56</v>
      </c>
      <c r="AE18">
        <f t="shared" si="19"/>
        <v>30</v>
      </c>
      <c r="AF18">
        <f>SUM($AC$8:AC18)</f>
        <v>930</v>
      </c>
      <c r="AG18" s="97" t="str">
        <f t="shared" si="20"/>
        <v>1 w   1 d   3 h</v>
      </c>
    </row>
    <row r="19" spans="3:33" ht="15.6" x14ac:dyDescent="0.3">
      <c r="C19" s="125"/>
      <c r="D19" s="62" t="s">
        <v>6</v>
      </c>
      <c r="E19" s="127">
        <f>IFERROR(INDEX(DataTab,MATCH(C18,EtappenNo,0),20),"")</f>
        <v>80</v>
      </c>
      <c r="F19" s="26">
        <f>IFERROR(INDEX(DataTab,MATCH(C18,EtappenNo,0),21),"")</f>
        <v>52</v>
      </c>
      <c r="G19" s="16" t="str">
        <f>"gewonnen (" &amp; $K$3*100 &amp; "%): "</f>
        <v xml:space="preserve">gewonnen (65%): </v>
      </c>
      <c r="H19" s="18">
        <f>IFERROR(INDEX(DataTab,MATCH(C18,EtappenNo,0),17),"")</f>
        <v>273.31200000000001</v>
      </c>
      <c r="I19" s="90"/>
      <c r="J19" s="83">
        <f t="shared" si="0"/>
        <v>12</v>
      </c>
      <c r="K19" s="58">
        <f t="shared" si="1"/>
        <v>37.150418534400004</v>
      </c>
      <c r="L19" s="59">
        <v>0.72</v>
      </c>
      <c r="M19" s="102">
        <f t="shared" si="2"/>
        <v>2275.7307169300484</v>
      </c>
      <c r="N19" s="104">
        <f t="shared" si="3"/>
        <v>1016</v>
      </c>
      <c r="O19" s="104">
        <f t="shared" si="4"/>
        <v>57</v>
      </c>
      <c r="P19" s="76">
        <f t="shared" si="5"/>
        <v>92</v>
      </c>
      <c r="Q19" s="96">
        <f t="shared" si="6"/>
        <v>42501</v>
      </c>
      <c r="R19" s="95"/>
      <c r="S19" s="85"/>
      <c r="T19" s="85"/>
      <c r="U19" s="92">
        <f t="shared" si="9"/>
        <v>37.150418534400004</v>
      </c>
      <c r="V19" s="92">
        <f t="shared" si="10"/>
        <v>0.72</v>
      </c>
      <c r="W19" s="92">
        <f t="shared" si="11"/>
        <v>63.898719879168006</v>
      </c>
      <c r="X19" s="92">
        <f t="shared" si="12"/>
        <v>26.748301344768002</v>
      </c>
      <c r="Y19" s="92">
        <f t="shared" si="13"/>
        <v>1892.3383976550406</v>
      </c>
      <c r="Z19" s="92">
        <f t="shared" si="14"/>
        <v>1497.9048753070081</v>
      </c>
      <c r="AA19" s="92">
        <f t="shared" si="15"/>
        <v>-1114.512556032</v>
      </c>
      <c r="AB19" s="92">
        <f t="shared" si="16"/>
        <v>2275.7307169300484</v>
      </c>
      <c r="AC19" s="85">
        <f t="shared" si="17"/>
        <v>86</v>
      </c>
      <c r="AD19">
        <f t="shared" si="18"/>
        <v>56</v>
      </c>
      <c r="AE19">
        <f t="shared" si="19"/>
        <v>30</v>
      </c>
      <c r="AF19">
        <f>SUM($AC$8:AC19)</f>
        <v>1016</v>
      </c>
      <c r="AG19" s="97" t="str">
        <f t="shared" si="20"/>
        <v>1 w   1 d   3 h</v>
      </c>
    </row>
    <row r="20" spans="3:33" ht="16.2" thickBot="1" x14ac:dyDescent="0.35">
      <c r="C20" s="125"/>
      <c r="D20" s="61" t="s">
        <v>7</v>
      </c>
      <c r="E20" s="128"/>
      <c r="F20" s="27">
        <f>IFERROR(INDEX(DataTab,MATCH(C18,EtappenNo,0),22),"")</f>
        <v>28</v>
      </c>
      <c r="G20" s="15" t="str">
        <f xml:space="preserve"> " verloren (" &amp; (1-$K$3)*100 &amp; "%): "</f>
        <v xml:space="preserve"> verloren (35%): </v>
      </c>
      <c r="H20" s="19">
        <f>IFERROR(INDEX(DataTab,MATCH(C18,EtappenNo,0),18),"")</f>
        <v>-201.6</v>
      </c>
      <c r="I20" s="90"/>
      <c r="J20" s="83">
        <f t="shared" si="0"/>
        <v>13</v>
      </c>
      <c r="K20" s="58">
        <f t="shared" si="1"/>
        <v>44.580502241280001</v>
      </c>
      <c r="L20" s="59">
        <v>0.72</v>
      </c>
      <c r="M20" s="102">
        <f t="shared" si="2"/>
        <v>2735.8015000600581</v>
      </c>
      <c r="N20" s="104">
        <f t="shared" si="3"/>
        <v>1102</v>
      </c>
      <c r="O20" s="104">
        <f t="shared" si="4"/>
        <v>62</v>
      </c>
      <c r="P20" s="76">
        <f t="shared" si="5"/>
        <v>101</v>
      </c>
      <c r="Q20" s="96">
        <f t="shared" si="6"/>
        <v>42514</v>
      </c>
      <c r="R20" s="95"/>
      <c r="S20" s="85"/>
      <c r="T20" s="85"/>
      <c r="U20" s="92">
        <f t="shared" si="9"/>
        <v>44.580502241280001</v>
      </c>
      <c r="V20" s="92">
        <f t="shared" si="10"/>
        <v>0.72</v>
      </c>
      <c r="W20" s="92">
        <f t="shared" si="11"/>
        <v>76.67846385500161</v>
      </c>
      <c r="X20" s="92">
        <f t="shared" si="12"/>
        <v>32.097961613721601</v>
      </c>
      <c r="Y20" s="92">
        <f t="shared" si="13"/>
        <v>2275.7307169300484</v>
      </c>
      <c r="Z20" s="92">
        <f t="shared" si="14"/>
        <v>1797.4858503684097</v>
      </c>
      <c r="AA20" s="92">
        <f t="shared" si="15"/>
        <v>-1337.4150672384001</v>
      </c>
      <c r="AB20" s="92">
        <f t="shared" si="16"/>
        <v>2735.8015000600581</v>
      </c>
      <c r="AC20" s="85">
        <f t="shared" si="17"/>
        <v>86</v>
      </c>
      <c r="AD20">
        <f t="shared" si="18"/>
        <v>56</v>
      </c>
      <c r="AE20">
        <f t="shared" si="19"/>
        <v>30</v>
      </c>
      <c r="AF20">
        <f>SUM($AC$8:AC20)</f>
        <v>1102</v>
      </c>
      <c r="AG20" s="97" t="str">
        <f t="shared" si="20"/>
        <v>1 w   1 d   3 h</v>
      </c>
    </row>
    <row r="21" spans="3:33" ht="16.8" thickTop="1" thickBot="1" x14ac:dyDescent="0.35">
      <c r="C21" s="126"/>
      <c r="D21" s="60" t="s">
        <v>14</v>
      </c>
      <c r="E21" s="63" t="str">
        <f>IFERROR(INDEX(DataTab,MATCH(C18,EtappenNo,0),24),"")</f>
        <v>1 w   1 d   2 h</v>
      </c>
      <c r="F21" s="20"/>
      <c r="G21" s="21" t="str">
        <f>IFERROR("Budget nach " &amp; INDEX(DataTab,MATCH(C18,EtappenNo,0),23) &amp; " trades: ","")</f>
        <v xml:space="preserve">Budget nach 246 trades: </v>
      </c>
      <c r="H21" s="28">
        <f>IFERROR(INDEX(DataTab,MATCH(C18,EtappenNo,0),19),"")</f>
        <v>433.43200000000002</v>
      </c>
      <c r="I21" s="89" t="str">
        <f>IFERROR("(+ " &amp; ROUND(((H21/H18)-1)*100,0) &amp; "%)","")</f>
        <v>(+ 20%)</v>
      </c>
      <c r="J21" s="83">
        <f t="shared" si="0"/>
        <v>14</v>
      </c>
      <c r="K21" s="58">
        <f t="shared" si="1"/>
        <v>53.496602689536005</v>
      </c>
      <c r="L21" s="59">
        <v>0.72</v>
      </c>
      <c r="M21" s="102">
        <f t="shared" si="2"/>
        <v>3287.8864398160695</v>
      </c>
      <c r="N21" s="104">
        <f t="shared" si="3"/>
        <v>1188</v>
      </c>
      <c r="O21" s="104">
        <f t="shared" si="4"/>
        <v>66</v>
      </c>
      <c r="P21" s="76">
        <f t="shared" si="5"/>
        <v>110</v>
      </c>
      <c r="Q21" s="96">
        <f t="shared" si="6"/>
        <v>42527</v>
      </c>
      <c r="R21" s="95"/>
      <c r="S21" s="85"/>
      <c r="T21" s="85"/>
      <c r="U21" s="92">
        <f t="shared" si="9"/>
        <v>53.496602689536005</v>
      </c>
      <c r="V21" s="92">
        <f t="shared" si="10"/>
        <v>0.72</v>
      </c>
      <c r="W21" s="92">
        <f t="shared" si="11"/>
        <v>92.01415662600192</v>
      </c>
      <c r="X21" s="92">
        <f t="shared" si="12"/>
        <v>38.517553936465923</v>
      </c>
      <c r="Y21" s="92">
        <f t="shared" si="13"/>
        <v>2735.8015000600581</v>
      </c>
      <c r="Z21" s="92">
        <f t="shared" si="14"/>
        <v>2156.9830204420919</v>
      </c>
      <c r="AA21" s="92">
        <f t="shared" si="15"/>
        <v>-1604.8980806860802</v>
      </c>
      <c r="AB21" s="92">
        <f t="shared" si="16"/>
        <v>3287.8864398160695</v>
      </c>
      <c r="AC21" s="85">
        <f t="shared" si="17"/>
        <v>86</v>
      </c>
      <c r="AD21">
        <f t="shared" si="18"/>
        <v>56</v>
      </c>
      <c r="AE21">
        <f t="shared" si="19"/>
        <v>30</v>
      </c>
      <c r="AF21">
        <f>SUM($AC$8:AC21)</f>
        <v>1188</v>
      </c>
      <c r="AG21" s="97" t="str">
        <f t="shared" si="20"/>
        <v>1 w   1 d   3 h</v>
      </c>
    </row>
    <row r="22" spans="3:33" ht="15" thickBot="1" x14ac:dyDescent="0.35">
      <c r="I22" s="90"/>
      <c r="J22" s="83">
        <f t="shared" si="0"/>
        <v>15</v>
      </c>
      <c r="K22" s="58">
        <f t="shared" si="1"/>
        <v>64.195923227443203</v>
      </c>
      <c r="L22" s="59">
        <v>0.72</v>
      </c>
      <c r="M22" s="102">
        <f t="shared" si="2"/>
        <v>3950.3883675232828</v>
      </c>
      <c r="N22" s="104">
        <f t="shared" si="3"/>
        <v>1274</v>
      </c>
      <c r="O22" s="104">
        <f t="shared" si="4"/>
        <v>71</v>
      </c>
      <c r="P22" s="76">
        <f t="shared" si="5"/>
        <v>116</v>
      </c>
      <c r="Q22" s="96">
        <f t="shared" si="6"/>
        <v>42535</v>
      </c>
      <c r="R22" s="95"/>
      <c r="S22" s="85"/>
      <c r="T22" s="85"/>
      <c r="U22" s="92">
        <f t="shared" si="9"/>
        <v>64.195923227443203</v>
      </c>
      <c r="V22" s="92">
        <f t="shared" si="10"/>
        <v>0.72</v>
      </c>
      <c r="W22" s="92">
        <f t="shared" si="11"/>
        <v>110.41698795120232</v>
      </c>
      <c r="X22" s="92">
        <f t="shared" si="12"/>
        <v>46.221064723759106</v>
      </c>
      <c r="Y22" s="92">
        <f t="shared" si="13"/>
        <v>3287.8864398160695</v>
      </c>
      <c r="Z22" s="92">
        <f t="shared" si="14"/>
        <v>2588.3796245305098</v>
      </c>
      <c r="AA22" s="92">
        <f t="shared" si="15"/>
        <v>-1925.877696823296</v>
      </c>
      <c r="AB22" s="92">
        <f t="shared" si="16"/>
        <v>3950.3883675232828</v>
      </c>
      <c r="AC22" s="85">
        <f t="shared" si="17"/>
        <v>86</v>
      </c>
      <c r="AD22">
        <f t="shared" si="18"/>
        <v>56</v>
      </c>
      <c r="AE22">
        <f t="shared" si="19"/>
        <v>30</v>
      </c>
      <c r="AF22">
        <f>SUM($AC$8:AC22)</f>
        <v>1274</v>
      </c>
      <c r="AG22" s="97" t="str">
        <f t="shared" si="20"/>
        <v>1 w   1 d   3 h</v>
      </c>
    </row>
    <row r="23" spans="3:33" ht="15.6" customHeight="1" x14ac:dyDescent="0.3">
      <c r="C23" s="124">
        <f>C18+1</f>
        <v>4</v>
      </c>
      <c r="D23" s="23">
        <f>IFERROR(INDEX(DataTab,MATCH(C23,EtappenNo,0),12),"")</f>
        <v>8.64</v>
      </c>
      <c r="E23" s="24">
        <f>IFERROR(INDEX(DataTab,MATCH(C23,EtappenNo,0),3),"")</f>
        <v>0.71</v>
      </c>
      <c r="F23" s="22">
        <f>IFERROR(INDEX(DataTab,MATCH(C23,EtappenNo,0),14),"")</f>
        <v>14.7744</v>
      </c>
      <c r="G23" s="25">
        <f>IFERROR(INDEX(DataTab,MATCH(C23,EtappenNo,0),15),"")</f>
        <v>6.1344000000000003</v>
      </c>
      <c r="H23" s="87">
        <f>IFERROR(INDEX(DataTab,MATCH(C23,EtappenNo,0),16),"")</f>
        <v>433.43200000000002</v>
      </c>
      <c r="I23" s="90"/>
      <c r="J23" s="83">
        <f t="shared" si="0"/>
        <v>16</v>
      </c>
      <c r="K23" s="58">
        <f t="shared" si="1"/>
        <v>77.035107872931846</v>
      </c>
      <c r="L23" s="59">
        <v>0.72</v>
      </c>
      <c r="M23" s="102">
        <f t="shared" si="2"/>
        <v>4745.3906807719395</v>
      </c>
      <c r="N23" s="104">
        <f t="shared" si="3"/>
        <v>1360</v>
      </c>
      <c r="O23" s="104">
        <f t="shared" si="4"/>
        <v>76</v>
      </c>
      <c r="P23" s="76">
        <f t="shared" si="5"/>
        <v>125</v>
      </c>
      <c r="Q23" s="96">
        <f t="shared" si="6"/>
        <v>42548</v>
      </c>
      <c r="R23" s="95"/>
      <c r="S23" s="85"/>
      <c r="T23" s="85"/>
      <c r="U23" s="92">
        <f t="shared" si="9"/>
        <v>77.035107872931846</v>
      </c>
      <c r="V23" s="92">
        <f t="shared" si="10"/>
        <v>0.72</v>
      </c>
      <c r="W23" s="92">
        <f t="shared" si="11"/>
        <v>132.50038554144277</v>
      </c>
      <c r="X23" s="92">
        <f t="shared" si="12"/>
        <v>55.465277668510929</v>
      </c>
      <c r="Y23" s="92">
        <f t="shared" si="13"/>
        <v>3950.3883675232828</v>
      </c>
      <c r="Z23" s="92">
        <f t="shared" si="14"/>
        <v>3106.0555494366122</v>
      </c>
      <c r="AA23" s="92">
        <f t="shared" si="15"/>
        <v>-2311.0532361879555</v>
      </c>
      <c r="AB23" s="92">
        <f t="shared" si="16"/>
        <v>4745.3906807719395</v>
      </c>
      <c r="AC23" s="85">
        <f t="shared" si="17"/>
        <v>86</v>
      </c>
      <c r="AD23">
        <f t="shared" si="18"/>
        <v>56</v>
      </c>
      <c r="AE23">
        <f t="shared" si="19"/>
        <v>30</v>
      </c>
      <c r="AF23">
        <f>SUM($AC$8:AC23)</f>
        <v>1360</v>
      </c>
      <c r="AG23" s="97" t="str">
        <f t="shared" si="20"/>
        <v>1 w   1 d   3 h</v>
      </c>
    </row>
    <row r="24" spans="3:33" ht="15.6" x14ac:dyDescent="0.3">
      <c r="C24" s="125"/>
      <c r="D24" s="62" t="s">
        <v>6</v>
      </c>
      <c r="E24" s="127">
        <f>IFERROR(INDEX(DataTab,MATCH(C23,EtappenNo,0),20),"")</f>
        <v>89</v>
      </c>
      <c r="F24" s="26">
        <f>IFERROR(INDEX(DataTab,MATCH(C23,EtappenNo,0),21),"")</f>
        <v>58</v>
      </c>
      <c r="G24" s="16" t="str">
        <f>"gewonnen (" &amp; $K$3*100 &amp; "%): "</f>
        <v xml:space="preserve">gewonnen (65%): </v>
      </c>
      <c r="H24" s="18">
        <f>IFERROR(INDEX(DataTab,MATCH(C23,EtappenNo,0),17),"")</f>
        <v>355.79520000000002</v>
      </c>
      <c r="I24" s="90"/>
      <c r="J24" s="83">
        <f t="shared" si="0"/>
        <v>17</v>
      </c>
      <c r="K24" s="58">
        <f t="shared" si="1"/>
        <v>92.442129447518212</v>
      </c>
      <c r="L24" s="59">
        <v>0.72</v>
      </c>
      <c r="M24" s="102">
        <f t="shared" si="2"/>
        <v>5699.3934566703265</v>
      </c>
      <c r="N24" s="104">
        <f t="shared" si="3"/>
        <v>1446</v>
      </c>
      <c r="O24" s="104">
        <f t="shared" si="4"/>
        <v>81</v>
      </c>
      <c r="P24" s="76">
        <f t="shared" si="5"/>
        <v>132</v>
      </c>
      <c r="Q24" s="96">
        <f t="shared" si="6"/>
        <v>42557</v>
      </c>
      <c r="R24" s="95"/>
      <c r="S24" s="85"/>
      <c r="T24" s="85"/>
      <c r="U24" s="92">
        <f t="shared" si="9"/>
        <v>92.442129447518212</v>
      </c>
      <c r="V24" s="92">
        <f t="shared" si="10"/>
        <v>0.72</v>
      </c>
      <c r="W24" s="92">
        <f t="shared" si="11"/>
        <v>159.00046264973133</v>
      </c>
      <c r="X24" s="92">
        <f t="shared" si="12"/>
        <v>66.558333202213106</v>
      </c>
      <c r="Y24" s="92">
        <f t="shared" si="13"/>
        <v>4745.3906807719395</v>
      </c>
      <c r="Z24" s="92">
        <f t="shared" si="14"/>
        <v>3727.2666593239337</v>
      </c>
      <c r="AA24" s="92">
        <f t="shared" si="15"/>
        <v>-2773.2638834255463</v>
      </c>
      <c r="AB24" s="92">
        <f t="shared" si="16"/>
        <v>5699.3934566703265</v>
      </c>
      <c r="AC24" s="85">
        <f t="shared" si="17"/>
        <v>86</v>
      </c>
      <c r="AD24">
        <f t="shared" si="18"/>
        <v>56</v>
      </c>
      <c r="AE24">
        <f t="shared" si="19"/>
        <v>30</v>
      </c>
      <c r="AF24">
        <f>SUM($AC$8:AC24)</f>
        <v>1446</v>
      </c>
      <c r="AG24" s="97" t="str">
        <f t="shared" si="20"/>
        <v>1 w   1 d   3 h</v>
      </c>
    </row>
    <row r="25" spans="3:33" ht="16.2" thickBot="1" x14ac:dyDescent="0.35">
      <c r="C25" s="125"/>
      <c r="D25" s="61" t="s">
        <v>7</v>
      </c>
      <c r="E25" s="128"/>
      <c r="F25" s="27">
        <f>IFERROR(INDEX(DataTab,MATCH(C23,EtappenNo,0),22),"")</f>
        <v>31</v>
      </c>
      <c r="G25" s="15" t="str">
        <f xml:space="preserve"> " verloren (" &amp; (1-$K$3)*100 &amp; "%): "</f>
        <v xml:space="preserve"> verloren (35%): </v>
      </c>
      <c r="H25" s="19">
        <f>IFERROR(INDEX(DataTab,MATCH(C23,EtappenNo,0),18),"")</f>
        <v>-267.84000000000003</v>
      </c>
      <c r="I25" s="90"/>
      <c r="J25" s="83">
        <f t="shared" si="0"/>
        <v>18</v>
      </c>
      <c r="K25" s="58">
        <f t="shared" si="1"/>
        <v>110.93055533702186</v>
      </c>
      <c r="L25" s="59">
        <v>0.72</v>
      </c>
      <c r="M25" s="102">
        <f t="shared" si="2"/>
        <v>6844.1967877483912</v>
      </c>
      <c r="N25" s="104">
        <f t="shared" si="3"/>
        <v>1532</v>
      </c>
      <c r="O25" s="104">
        <f t="shared" si="4"/>
        <v>86</v>
      </c>
      <c r="P25" s="76">
        <f t="shared" si="5"/>
        <v>141</v>
      </c>
      <c r="Q25" s="96">
        <f t="shared" si="6"/>
        <v>42570</v>
      </c>
      <c r="R25" s="95"/>
      <c r="S25" s="85"/>
      <c r="T25" s="85"/>
      <c r="U25" s="92">
        <f t="shared" si="9"/>
        <v>110.93055533702186</v>
      </c>
      <c r="V25" s="92">
        <f t="shared" si="10"/>
        <v>0.72</v>
      </c>
      <c r="W25" s="92">
        <f t="shared" si="11"/>
        <v>190.80055517967759</v>
      </c>
      <c r="X25" s="92">
        <f t="shared" si="12"/>
        <v>79.86999984265573</v>
      </c>
      <c r="Y25" s="92">
        <f t="shared" si="13"/>
        <v>5699.3934566703265</v>
      </c>
      <c r="Z25" s="92">
        <f t="shared" si="14"/>
        <v>4472.719991188721</v>
      </c>
      <c r="AA25" s="92">
        <f t="shared" si="15"/>
        <v>-3327.9166601106558</v>
      </c>
      <c r="AB25" s="92">
        <f t="shared" si="16"/>
        <v>6844.1967877483912</v>
      </c>
      <c r="AC25" s="85">
        <f t="shared" si="17"/>
        <v>86</v>
      </c>
      <c r="AD25">
        <f t="shared" si="18"/>
        <v>56</v>
      </c>
      <c r="AE25">
        <f t="shared" si="19"/>
        <v>30</v>
      </c>
      <c r="AF25">
        <f>SUM($AC$8:AC25)</f>
        <v>1532</v>
      </c>
      <c r="AG25" s="97" t="str">
        <f t="shared" si="20"/>
        <v>1 w   1 d   3 h</v>
      </c>
    </row>
    <row r="26" spans="3:33" ht="16.8" thickTop="1" thickBot="1" x14ac:dyDescent="0.35">
      <c r="C26" s="126"/>
      <c r="D26" s="60" t="s">
        <v>14</v>
      </c>
      <c r="E26" s="63" t="str">
        <f>IFERROR(INDEX(DataTab,MATCH(C23,EtappenNo,0),24),"")</f>
        <v>1 w   1 d   3 h</v>
      </c>
      <c r="F26" s="20"/>
      <c r="G26" s="21" t="str">
        <f>IFERROR("Budget nach " &amp; INDEX(DataTab,MATCH(C23,EtappenNo,0),23) &amp; " trades: ","")</f>
        <v xml:space="preserve">Budget nach 335 trades: </v>
      </c>
      <c r="H26" s="28">
        <f>IFERROR(INDEX(DataTab,MATCH(C23,EtappenNo,0),19),"")</f>
        <v>521.38720000000001</v>
      </c>
      <c r="I26" s="89" t="str">
        <f>IFERROR("(+ " &amp; ROUND(((H26/H23)-1)*100,0) &amp; "%)","")</f>
        <v>(+ 20%)</v>
      </c>
      <c r="J26" s="83">
        <f t="shared" si="0"/>
        <v>19</v>
      </c>
      <c r="K26" s="58">
        <f t="shared" si="1"/>
        <v>133.11666640442624</v>
      </c>
      <c r="L26" s="59">
        <v>0.72</v>
      </c>
      <c r="M26" s="102">
        <f t="shared" si="2"/>
        <v>8276.5321182600183</v>
      </c>
      <c r="N26" s="104">
        <f t="shared" si="3"/>
        <v>1621</v>
      </c>
      <c r="O26" s="104">
        <f t="shared" si="4"/>
        <v>91</v>
      </c>
      <c r="P26" s="76">
        <f t="shared" si="5"/>
        <v>150</v>
      </c>
      <c r="Q26" s="96">
        <f t="shared" si="6"/>
        <v>42583</v>
      </c>
      <c r="R26" s="95"/>
      <c r="U26" s="92">
        <f t="shared" si="9"/>
        <v>133.11666640442624</v>
      </c>
      <c r="V26" s="92">
        <f t="shared" si="10"/>
        <v>0.72</v>
      </c>
      <c r="W26" s="92">
        <f t="shared" si="11"/>
        <v>228.96066621561312</v>
      </c>
      <c r="X26" s="92">
        <f t="shared" si="12"/>
        <v>95.84399981118689</v>
      </c>
      <c r="Y26" s="92">
        <f t="shared" si="13"/>
        <v>6844.1967877483912</v>
      </c>
      <c r="Z26" s="92">
        <f t="shared" si="14"/>
        <v>5558.95198904884</v>
      </c>
      <c r="AA26" s="92">
        <f t="shared" si="15"/>
        <v>-4126.6166585372139</v>
      </c>
      <c r="AB26" s="92">
        <f t="shared" si="16"/>
        <v>8276.5321182600183</v>
      </c>
      <c r="AC26" s="85">
        <f t="shared" si="17"/>
        <v>89</v>
      </c>
      <c r="AD26">
        <f t="shared" si="18"/>
        <v>58</v>
      </c>
      <c r="AE26">
        <f t="shared" si="19"/>
        <v>31</v>
      </c>
      <c r="AF26">
        <f>SUM($AC$8:AC26)</f>
        <v>1621</v>
      </c>
      <c r="AG26" s="97" t="str">
        <f t="shared" si="20"/>
        <v>1 w   1 d   3 h</v>
      </c>
    </row>
    <row r="27" spans="3:33" ht="15" thickBot="1" x14ac:dyDescent="0.35">
      <c r="I27" s="90"/>
      <c r="J27" s="83">
        <f t="shared" si="0"/>
        <v>20</v>
      </c>
      <c r="K27" s="58">
        <f>IF(Y27=0,"",U27)</f>
        <v>159.73999968531149</v>
      </c>
      <c r="L27" s="59">
        <v>0.72</v>
      </c>
      <c r="M27" s="102">
        <f t="shared" si="2"/>
        <v>9995.3345148739681</v>
      </c>
      <c r="N27" s="104">
        <f t="shared" si="3"/>
        <v>1710</v>
      </c>
      <c r="O27" s="104">
        <f t="shared" si="4"/>
        <v>95</v>
      </c>
      <c r="P27" s="76">
        <f t="shared" si="5"/>
        <v>157</v>
      </c>
      <c r="Q27" s="96">
        <f t="shared" si="6"/>
        <v>42592</v>
      </c>
      <c r="R27" s="95"/>
      <c r="U27" s="92">
        <f>IF(U26+(U26*$H$2)&lt;=$E$3,U26+(U26*$H$2),$E$3)</f>
        <v>159.73999968531149</v>
      </c>
      <c r="V27" s="92">
        <f t="shared" si="10"/>
        <v>0.72</v>
      </c>
      <c r="W27" s="92">
        <f t="shared" si="11"/>
        <v>274.75279945873575</v>
      </c>
      <c r="X27" s="92">
        <f t="shared" si="12"/>
        <v>115.01279977342426</v>
      </c>
      <c r="Y27" s="92">
        <f t="shared" si="13"/>
        <v>8276.5321182600183</v>
      </c>
      <c r="Z27" s="92">
        <f t="shared" si="14"/>
        <v>6670.7423868586075</v>
      </c>
      <c r="AA27" s="92">
        <f t="shared" si="15"/>
        <v>-4951.9399902446557</v>
      </c>
      <c r="AB27" s="92">
        <f t="shared" si="16"/>
        <v>9995.3345148739681</v>
      </c>
      <c r="AC27" s="85">
        <f t="shared" si="17"/>
        <v>89</v>
      </c>
      <c r="AD27">
        <f t="shared" si="18"/>
        <v>58</v>
      </c>
      <c r="AE27">
        <f t="shared" si="19"/>
        <v>31</v>
      </c>
      <c r="AF27">
        <f>SUM($AC$8:AC27)</f>
        <v>1710</v>
      </c>
      <c r="AG27" s="97" t="str">
        <f t="shared" si="20"/>
        <v>1 w   1 d   3 h</v>
      </c>
    </row>
    <row r="28" spans="3:33" ht="15.6" customHeight="1" x14ac:dyDescent="0.3">
      <c r="C28" s="124">
        <f>C23+1</f>
        <v>5</v>
      </c>
      <c r="D28" s="23">
        <f>IFERROR(INDEX(DataTab,MATCH(C28,EtappenNo,0),12),"")</f>
        <v>10.368</v>
      </c>
      <c r="E28" s="24">
        <f>IFERROR(INDEX(DataTab,MATCH(C28,EtappenNo,0),3),"")</f>
        <v>0.75</v>
      </c>
      <c r="F28" s="22">
        <f>IFERROR(INDEX(DataTab,MATCH(C28,EtappenNo,0),14),"")</f>
        <v>18.143999999999998</v>
      </c>
      <c r="G28" s="25">
        <f>IFERROR(INDEX(DataTab,MATCH(C28,EtappenNo,0),15),"")</f>
        <v>7.7759999999999998</v>
      </c>
      <c r="H28" s="87">
        <f>IFERROR(INDEX(DataTab,MATCH(C28,EtappenNo,0),16),"")</f>
        <v>521.38720000000001</v>
      </c>
      <c r="I28" s="90"/>
      <c r="J28" s="83">
        <f t="shared" si="0"/>
        <v>21</v>
      </c>
      <c r="K28" s="58">
        <f t="shared" ref="K28:K91" si="21">IF(Y28=0,"",U28)</f>
        <v>191.68799962237378</v>
      </c>
      <c r="L28" s="57">
        <v>0.72</v>
      </c>
      <c r="M28" s="102">
        <f t="shared" si="2"/>
        <v>12057.897390810709</v>
      </c>
      <c r="N28" s="104">
        <f t="shared" si="3"/>
        <v>1799</v>
      </c>
      <c r="O28" s="104">
        <f t="shared" si="4"/>
        <v>100</v>
      </c>
      <c r="P28" s="76">
        <f t="shared" si="5"/>
        <v>165</v>
      </c>
      <c r="Q28" s="96">
        <f t="shared" si="6"/>
        <v>42604</v>
      </c>
      <c r="U28" s="92">
        <f t="shared" ref="U28:U91" si="22">IF(U27+(U27*$H$2)&lt;=$E$3,U27+(U27*$H$2),$E$3)</f>
        <v>191.68799962237378</v>
      </c>
      <c r="V28" s="92">
        <f t="shared" ref="V28:V91" si="23">L28</f>
        <v>0.72</v>
      </c>
      <c r="W28" s="92">
        <f t="shared" ref="W28:W91" si="24">(U28*V28)+U28</f>
        <v>329.70335935048286</v>
      </c>
      <c r="X28" s="92">
        <f t="shared" ref="X28:X91" si="25">U28*V28</f>
        <v>138.0153597281091</v>
      </c>
      <c r="Y28" s="92">
        <f t="shared" si="13"/>
        <v>9995.3345148739681</v>
      </c>
      <c r="Z28" s="92">
        <f t="shared" ref="Z28:Z91" si="26">AD28*X28</f>
        <v>8004.8908642303277</v>
      </c>
      <c r="AA28" s="92">
        <f t="shared" ref="AA28:AA91" si="27">AE28*U28*-1</f>
        <v>-5942.3279882935876</v>
      </c>
      <c r="AB28" s="92">
        <f t="shared" si="16"/>
        <v>12057.897390810709</v>
      </c>
      <c r="AC28" s="85">
        <f t="shared" ref="AC28:AC91" si="28">IF(ROUND(Y28*$H$2/((($K$3/(1-$K$3))*V28*U28)-U28),0)&lt;0,"Nicht profitabel!",ROUND(Y28*$H$2/((($K$3/(1-$K$3))*V28*U28)-U28),0)+ROUND(($K$3/(1-$K$3))*ROUND(Y28*$H$2/((($K$3/(1-$K$3))*V28*U28)-U28),0),0))</f>
        <v>89</v>
      </c>
      <c r="AD28">
        <f t="shared" ref="AD28:AD91" si="29">IF(ROUND(($K$3/(1-$K$3))*ROUND(Y28*$H$2/((($K$3/(1-$K$3))*V28*U28)-U28),0),0)&gt;=0,ROUND(($K$3/(1-$K$3))*ROUND(Y28*$H$2/((($K$3/(1-$K$3))*V28*U28)-U28),0),0),0)</f>
        <v>58</v>
      </c>
      <c r="AE28">
        <f t="shared" ref="AE28:AE91" si="30">IF(ROUND(Y28*$H$2/((($K$3/(1-$K$3))*V28*U28)-U28),0)&gt;=0,ROUND(Y28*$H$2/((($K$3/(1-$K$3))*V28*U28)-U28),0),0)</f>
        <v>31</v>
      </c>
      <c r="AF28">
        <f>SUM($AC$8:AC28)</f>
        <v>1799</v>
      </c>
      <c r="AG28" s="97" t="str">
        <f t="shared" ref="AG28:AG91" si="31">IFERROR(INT(AC28/($S$3*$Q$3*$Q$2)) &amp; " w   " &amp; INT((AC28-(INT(AC28/($S$3*$Q$3*$Q$2))*$S$3*$Q$3*$Q$2))/($Q$3*$Q$2)) &amp; " d   " &amp; ROUNDUP((AC28-(INT(AC28/($S$3*$Q$3*$Q$2))*$S$3*$Q$3*$Q$2)-(INT((AC28-(INT(AC28/($S$3*$Q$3*$Q$2))*$S$3*$Q$3*$Q$2))/($Q$3*$Q$2))*$Q$2*$Q$3))/$Q$2,0) &amp; " h","")</f>
        <v>1 w   1 d   3 h</v>
      </c>
    </row>
    <row r="29" spans="3:33" ht="15.6" x14ac:dyDescent="0.3">
      <c r="C29" s="125"/>
      <c r="D29" s="62" t="s">
        <v>6</v>
      </c>
      <c r="E29" s="127">
        <f>IFERROR(INDEX(DataTab,MATCH(C28,EtappenNo,0),20),"")</f>
        <v>74</v>
      </c>
      <c r="F29" s="26">
        <f>IFERROR(INDEX(DataTab,MATCH(C28,EtappenNo,0),21),"")</f>
        <v>48</v>
      </c>
      <c r="G29" s="16" t="str">
        <f>"gewonnen (" &amp; $K$3*100 &amp; "%): "</f>
        <v xml:space="preserve">gewonnen (65%): </v>
      </c>
      <c r="H29" s="18">
        <f>IFERROR(INDEX(DataTab,MATCH(C28,EtappenNo,0),17),"")</f>
        <v>373.24799999999999</v>
      </c>
      <c r="I29" s="90"/>
      <c r="J29" s="83">
        <f t="shared" si="0"/>
        <v>22</v>
      </c>
      <c r="K29" s="58">
        <f t="shared" si="21"/>
        <v>230.02559954684853</v>
      </c>
      <c r="L29" s="59">
        <v>0.72</v>
      </c>
      <c r="M29" s="102">
        <f t="shared" si="2"/>
        <v>14532.972841934798</v>
      </c>
      <c r="N29" s="104">
        <f t="shared" si="3"/>
        <v>1888</v>
      </c>
      <c r="O29" s="104">
        <f t="shared" si="4"/>
        <v>105</v>
      </c>
      <c r="P29" s="76">
        <f t="shared" si="5"/>
        <v>172</v>
      </c>
      <c r="Q29" s="96">
        <f t="shared" si="6"/>
        <v>42613</v>
      </c>
      <c r="U29" s="92">
        <f t="shared" si="22"/>
        <v>230.02559954684853</v>
      </c>
      <c r="V29" s="92">
        <f t="shared" si="23"/>
        <v>0.72</v>
      </c>
      <c r="W29" s="92">
        <f t="shared" si="24"/>
        <v>395.64403122057945</v>
      </c>
      <c r="X29" s="92">
        <f t="shared" si="25"/>
        <v>165.61843167373092</v>
      </c>
      <c r="Y29" s="92">
        <f t="shared" si="13"/>
        <v>12057.897390810709</v>
      </c>
      <c r="Z29" s="92">
        <f t="shared" si="26"/>
        <v>9605.8690370763943</v>
      </c>
      <c r="AA29" s="92">
        <f t="shared" si="27"/>
        <v>-7130.7935859523041</v>
      </c>
      <c r="AB29" s="92">
        <f t="shared" si="16"/>
        <v>14532.972841934798</v>
      </c>
      <c r="AC29" s="85">
        <f t="shared" si="28"/>
        <v>89</v>
      </c>
      <c r="AD29">
        <f t="shared" si="29"/>
        <v>58</v>
      </c>
      <c r="AE29">
        <f t="shared" si="30"/>
        <v>31</v>
      </c>
      <c r="AF29">
        <f>SUM($AC$8:AC29)</f>
        <v>1888</v>
      </c>
      <c r="AG29" s="97" t="str">
        <f t="shared" si="31"/>
        <v>1 w   1 d   3 h</v>
      </c>
    </row>
    <row r="30" spans="3:33" ht="16.2" thickBot="1" x14ac:dyDescent="0.35">
      <c r="C30" s="125"/>
      <c r="D30" s="61" t="s">
        <v>7</v>
      </c>
      <c r="E30" s="128"/>
      <c r="F30" s="27">
        <f>IFERROR(INDEX(DataTab,MATCH(C28,EtappenNo,0),22),"")</f>
        <v>26</v>
      </c>
      <c r="G30" s="15" t="str">
        <f xml:space="preserve"> " verloren (" &amp; (1-$K$3)*100 &amp; "%): "</f>
        <v xml:space="preserve"> verloren (35%): </v>
      </c>
      <c r="H30" s="19">
        <f>IFERROR(INDEX(DataTab,MATCH(C28,EtappenNo,0),18),"")</f>
        <v>-269.56799999999998</v>
      </c>
      <c r="I30" s="90"/>
      <c r="J30" s="83">
        <f t="shared" si="0"/>
        <v>23</v>
      </c>
      <c r="K30" s="58">
        <f t="shared" si="21"/>
        <v>276.03071945621821</v>
      </c>
      <c r="L30" s="59">
        <v>0.72</v>
      </c>
      <c r="M30" s="102">
        <f t="shared" si="2"/>
        <v>17503.063383283705</v>
      </c>
      <c r="N30" s="104">
        <f t="shared" si="3"/>
        <v>1977</v>
      </c>
      <c r="O30" s="104">
        <f t="shared" si="4"/>
        <v>110</v>
      </c>
      <c r="P30" s="76">
        <f t="shared" si="5"/>
        <v>181</v>
      </c>
      <c r="Q30" s="96">
        <f t="shared" si="6"/>
        <v>42626</v>
      </c>
      <c r="U30" s="92">
        <f t="shared" si="22"/>
        <v>276.03071945621821</v>
      </c>
      <c r="V30" s="92">
        <f t="shared" si="23"/>
        <v>0.72</v>
      </c>
      <c r="W30" s="92">
        <f t="shared" si="24"/>
        <v>474.77283746469527</v>
      </c>
      <c r="X30" s="92">
        <f t="shared" si="25"/>
        <v>198.74211800847709</v>
      </c>
      <c r="Y30" s="92">
        <f t="shared" si="13"/>
        <v>14532.972841934798</v>
      </c>
      <c r="Z30" s="92">
        <f t="shared" si="26"/>
        <v>11527.042844491671</v>
      </c>
      <c r="AA30" s="92">
        <f t="shared" si="27"/>
        <v>-8556.9523031427652</v>
      </c>
      <c r="AB30" s="92">
        <f t="shared" si="16"/>
        <v>17503.063383283705</v>
      </c>
      <c r="AC30" s="85">
        <f t="shared" si="28"/>
        <v>89</v>
      </c>
      <c r="AD30">
        <f t="shared" si="29"/>
        <v>58</v>
      </c>
      <c r="AE30">
        <f t="shared" si="30"/>
        <v>31</v>
      </c>
      <c r="AF30">
        <f>SUM($AC$8:AC30)</f>
        <v>1977</v>
      </c>
      <c r="AG30" s="97" t="str">
        <f t="shared" si="31"/>
        <v>1 w   1 d   3 h</v>
      </c>
    </row>
    <row r="31" spans="3:33" ht="16.8" thickTop="1" thickBot="1" x14ac:dyDescent="0.35">
      <c r="C31" s="126"/>
      <c r="D31" s="60" t="s">
        <v>14</v>
      </c>
      <c r="E31" s="63" t="str">
        <f>IFERROR(INDEX(DataTab,MATCH(C28,EtappenNo,0),24),"")</f>
        <v>1 w   1 d   1 h</v>
      </c>
      <c r="F31" s="20"/>
      <c r="G31" s="21" t="str">
        <f>IFERROR("Budget nach " &amp; INDEX(DataTab,MATCH(C28,EtappenNo,0),23) &amp; " trades: ","")</f>
        <v xml:space="preserve">Budget nach 409 trades: </v>
      </c>
      <c r="H31" s="28">
        <f>IFERROR(INDEX(DataTab,MATCH(C28,EtappenNo,0),19),"")</f>
        <v>625.06719999999996</v>
      </c>
      <c r="I31" s="89" t="str">
        <f>IFERROR("(+ " &amp; ROUND(((H31/H28)-1)*100,0) &amp; "%)","")</f>
        <v>(+ 20%)</v>
      </c>
      <c r="J31" s="83">
        <f t="shared" si="0"/>
        <v>24</v>
      </c>
      <c r="K31" s="58">
        <f t="shared" si="21"/>
        <v>331.23686334746185</v>
      </c>
      <c r="L31" s="59">
        <v>0.72</v>
      </c>
      <c r="M31" s="102">
        <f t="shared" si="2"/>
        <v>21067.172032902396</v>
      </c>
      <c r="N31" s="104">
        <f t="shared" si="3"/>
        <v>2066</v>
      </c>
      <c r="O31" s="104">
        <f t="shared" si="4"/>
        <v>115</v>
      </c>
      <c r="P31" s="76">
        <f t="shared" si="5"/>
        <v>190</v>
      </c>
      <c r="Q31" s="96">
        <f t="shared" si="6"/>
        <v>42639</v>
      </c>
      <c r="U31" s="92">
        <f t="shared" si="22"/>
        <v>331.23686334746185</v>
      </c>
      <c r="V31" s="92">
        <f t="shared" si="23"/>
        <v>0.72</v>
      </c>
      <c r="W31" s="92">
        <f t="shared" si="24"/>
        <v>569.72740495763435</v>
      </c>
      <c r="X31" s="92">
        <f t="shared" si="25"/>
        <v>238.49054161017253</v>
      </c>
      <c r="Y31" s="92">
        <f t="shared" si="13"/>
        <v>17503.063383283705</v>
      </c>
      <c r="Z31" s="92">
        <f t="shared" si="26"/>
        <v>13832.451413390007</v>
      </c>
      <c r="AA31" s="92">
        <f t="shared" si="27"/>
        <v>-10268.342763771318</v>
      </c>
      <c r="AB31" s="92">
        <f t="shared" si="16"/>
        <v>21067.172032902396</v>
      </c>
      <c r="AC31" s="85">
        <f t="shared" si="28"/>
        <v>89</v>
      </c>
      <c r="AD31">
        <f t="shared" si="29"/>
        <v>58</v>
      </c>
      <c r="AE31">
        <f t="shared" si="30"/>
        <v>31</v>
      </c>
      <c r="AF31">
        <f>SUM($AC$8:AC31)</f>
        <v>2066</v>
      </c>
      <c r="AG31" s="97" t="str">
        <f t="shared" si="31"/>
        <v>1 w   1 d   3 h</v>
      </c>
    </row>
    <row r="32" spans="3:33" ht="15" thickBot="1" x14ac:dyDescent="0.35">
      <c r="I32" s="90"/>
      <c r="J32" s="83">
        <f t="shared" si="0"/>
        <v>25</v>
      </c>
      <c r="K32" s="58">
        <f t="shared" si="21"/>
        <v>397.48423601695424</v>
      </c>
      <c r="L32" s="59">
        <v>0.72</v>
      </c>
      <c r="M32" s="102">
        <f t="shared" si="2"/>
        <v>25344.102412444823</v>
      </c>
      <c r="N32" s="104">
        <f t="shared" si="3"/>
        <v>2155</v>
      </c>
      <c r="O32" s="104">
        <f t="shared" si="4"/>
        <v>120</v>
      </c>
      <c r="P32" s="76">
        <f t="shared" si="5"/>
        <v>197</v>
      </c>
      <c r="Q32" s="96">
        <f t="shared" si="6"/>
        <v>42648</v>
      </c>
      <c r="U32" s="92">
        <f t="shared" si="22"/>
        <v>397.48423601695424</v>
      </c>
      <c r="V32" s="92">
        <f t="shared" si="23"/>
        <v>0.72</v>
      </c>
      <c r="W32" s="92">
        <f t="shared" si="24"/>
        <v>683.67288594916135</v>
      </c>
      <c r="X32" s="92">
        <f t="shared" si="25"/>
        <v>286.18864993220706</v>
      </c>
      <c r="Y32" s="92">
        <f t="shared" si="13"/>
        <v>21067.172032902396</v>
      </c>
      <c r="Z32" s="92">
        <f t="shared" si="26"/>
        <v>16598.94169606801</v>
      </c>
      <c r="AA32" s="92">
        <f t="shared" si="27"/>
        <v>-12322.011316525581</v>
      </c>
      <c r="AB32" s="92">
        <f t="shared" si="16"/>
        <v>25344.102412444823</v>
      </c>
      <c r="AC32" s="85">
        <f t="shared" si="28"/>
        <v>89</v>
      </c>
      <c r="AD32">
        <f t="shared" si="29"/>
        <v>58</v>
      </c>
      <c r="AE32">
        <f t="shared" si="30"/>
        <v>31</v>
      </c>
      <c r="AF32">
        <f>SUM($AC$8:AC32)</f>
        <v>2155</v>
      </c>
      <c r="AG32" s="97" t="str">
        <f t="shared" si="31"/>
        <v>1 w   1 d   3 h</v>
      </c>
    </row>
    <row r="33" spans="3:33" ht="15.6" customHeight="1" x14ac:dyDescent="0.3">
      <c r="C33" s="124">
        <f>C28+1</f>
        <v>6</v>
      </c>
      <c r="D33" s="23">
        <f>IFERROR(INDEX(DataTab,MATCH(C33,EtappenNo,0),12),"")</f>
        <v>12.441600000000001</v>
      </c>
      <c r="E33" s="24">
        <f>IFERROR(INDEX(DataTab,MATCH(C33,EtappenNo,0),3),"")</f>
        <v>0.72</v>
      </c>
      <c r="F33" s="22">
        <f>IFERROR(INDEX(DataTab,MATCH(C33,EtappenNo,0),14),"")</f>
        <v>21.399552</v>
      </c>
      <c r="G33" s="25">
        <f>IFERROR(INDEX(DataTab,MATCH(C33,EtappenNo,0),15),"")</f>
        <v>8.9579520000000006</v>
      </c>
      <c r="H33" s="87">
        <f>IFERROR(INDEX(DataTab,MATCH(C33,EtappenNo,0),16),"")</f>
        <v>625.06719999999996</v>
      </c>
      <c r="I33" s="90"/>
      <c r="J33" s="83">
        <f t="shared" si="0"/>
        <v>26</v>
      </c>
      <c r="K33" s="58">
        <f t="shared" si="21"/>
        <v>476.98108322034511</v>
      </c>
      <c r="L33" s="59">
        <v>0.72</v>
      </c>
      <c r="M33" s="102">
        <f t="shared" si="2"/>
        <v>30342.864164594041</v>
      </c>
      <c r="N33" s="104">
        <f t="shared" si="3"/>
        <v>2246</v>
      </c>
      <c r="O33" s="104">
        <f t="shared" si="4"/>
        <v>125</v>
      </c>
      <c r="P33" s="76">
        <f t="shared" si="5"/>
        <v>206</v>
      </c>
      <c r="Q33" s="96">
        <f t="shared" si="6"/>
        <v>42661</v>
      </c>
      <c r="U33" s="92">
        <f t="shared" si="22"/>
        <v>476.98108322034511</v>
      </c>
      <c r="V33" s="92">
        <f t="shared" si="23"/>
        <v>0.72</v>
      </c>
      <c r="W33" s="92">
        <f t="shared" si="24"/>
        <v>820.40746313899353</v>
      </c>
      <c r="X33" s="92">
        <f t="shared" si="25"/>
        <v>343.42637991864848</v>
      </c>
      <c r="Y33" s="92">
        <f t="shared" si="13"/>
        <v>25344.102412444823</v>
      </c>
      <c r="Z33" s="92">
        <f t="shared" si="26"/>
        <v>20262.156415200261</v>
      </c>
      <c r="AA33" s="92">
        <f t="shared" si="27"/>
        <v>-15263.394663051044</v>
      </c>
      <c r="AB33" s="92">
        <f t="shared" si="16"/>
        <v>30342.864164594041</v>
      </c>
      <c r="AC33" s="85">
        <f t="shared" si="28"/>
        <v>91</v>
      </c>
      <c r="AD33">
        <f t="shared" si="29"/>
        <v>59</v>
      </c>
      <c r="AE33">
        <f t="shared" si="30"/>
        <v>32</v>
      </c>
      <c r="AF33">
        <f>SUM($AC$8:AC33)</f>
        <v>2246</v>
      </c>
      <c r="AG33" s="97" t="str">
        <f t="shared" si="31"/>
        <v>1 w   2 d   1 h</v>
      </c>
    </row>
    <row r="34" spans="3:33" ht="15.6" x14ac:dyDescent="0.3">
      <c r="C34" s="125"/>
      <c r="D34" s="62" t="s">
        <v>6</v>
      </c>
      <c r="E34" s="127">
        <f>IFERROR(INDEX(DataTab,MATCH(C33,EtappenNo,0),20),"")</f>
        <v>86</v>
      </c>
      <c r="F34" s="26">
        <f>IFERROR(INDEX(DataTab,MATCH(C33,EtappenNo,0),21),"")</f>
        <v>56</v>
      </c>
      <c r="G34" s="16" t="str">
        <f>"gewonnen (" &amp; $K$3*100 &amp; "%): "</f>
        <v xml:space="preserve">gewonnen (65%): </v>
      </c>
      <c r="H34" s="18">
        <f>IFERROR(INDEX(DataTab,MATCH(C33,EtappenNo,0),17),"")</f>
        <v>501.64531200000005</v>
      </c>
      <c r="I34" s="90"/>
      <c r="J34" s="83">
        <f t="shared" si="0"/>
        <v>27</v>
      </c>
      <c r="K34" s="58">
        <f t="shared" si="21"/>
        <v>572.37729986441411</v>
      </c>
      <c r="L34" s="59">
        <v>0.72</v>
      </c>
      <c r="M34" s="102">
        <f t="shared" si="2"/>
        <v>36501.643911135136</v>
      </c>
      <c r="N34" s="104">
        <f t="shared" si="3"/>
        <v>2335</v>
      </c>
      <c r="O34" s="104">
        <f t="shared" si="4"/>
        <v>130</v>
      </c>
      <c r="P34" s="76">
        <f t="shared" si="5"/>
        <v>215</v>
      </c>
      <c r="Q34" s="96">
        <f t="shared" si="6"/>
        <v>42674</v>
      </c>
      <c r="U34" s="92">
        <f t="shared" si="22"/>
        <v>572.37729986441411</v>
      </c>
      <c r="V34" s="92">
        <f t="shared" si="23"/>
        <v>0.72</v>
      </c>
      <c r="W34" s="92">
        <f t="shared" si="24"/>
        <v>984.48895576679229</v>
      </c>
      <c r="X34" s="92">
        <f t="shared" si="25"/>
        <v>412.11165590237812</v>
      </c>
      <c r="Y34" s="92">
        <f t="shared" si="13"/>
        <v>30342.864164594041</v>
      </c>
      <c r="Z34" s="92">
        <f t="shared" si="26"/>
        <v>23902.47604233793</v>
      </c>
      <c r="AA34" s="92">
        <f t="shared" si="27"/>
        <v>-17743.696295796839</v>
      </c>
      <c r="AB34" s="92">
        <f t="shared" si="16"/>
        <v>36501.643911135136</v>
      </c>
      <c r="AC34" s="85">
        <f t="shared" si="28"/>
        <v>89</v>
      </c>
      <c r="AD34">
        <f t="shared" si="29"/>
        <v>58</v>
      </c>
      <c r="AE34">
        <f t="shared" si="30"/>
        <v>31</v>
      </c>
      <c r="AF34">
        <f>SUM($AC$8:AC34)</f>
        <v>2335</v>
      </c>
      <c r="AG34" s="97" t="str">
        <f t="shared" si="31"/>
        <v>1 w   1 d   3 h</v>
      </c>
    </row>
    <row r="35" spans="3:33" ht="16.2" thickBot="1" x14ac:dyDescent="0.35">
      <c r="C35" s="125"/>
      <c r="D35" s="61" t="s">
        <v>7</v>
      </c>
      <c r="E35" s="128"/>
      <c r="F35" s="27">
        <f>IFERROR(INDEX(DataTab,MATCH(C33,EtappenNo,0),22),"")</f>
        <v>30</v>
      </c>
      <c r="G35" s="15" t="str">
        <f xml:space="preserve"> " verloren (" &amp; (1-$K$3)*100 &amp; "%): "</f>
        <v xml:space="preserve"> verloren (35%): </v>
      </c>
      <c r="H35" s="19">
        <f>IFERROR(INDEX(DataTab,MATCH(C33,EtappenNo,0),18),"")</f>
        <v>-373.24800000000005</v>
      </c>
      <c r="I35" s="90"/>
      <c r="J35" s="83">
        <f t="shared" si="0"/>
        <v>28</v>
      </c>
      <c r="K35" s="58">
        <f t="shared" si="21"/>
        <v>686.85275983729696</v>
      </c>
      <c r="L35" s="59">
        <v>0.72</v>
      </c>
      <c r="M35" s="102">
        <f t="shared" si="2"/>
        <v>43699.860834229999</v>
      </c>
      <c r="N35" s="104">
        <f t="shared" si="3"/>
        <v>2426</v>
      </c>
      <c r="O35" s="104">
        <f t="shared" si="4"/>
        <v>135</v>
      </c>
      <c r="P35" s="76">
        <f t="shared" si="5"/>
        <v>222</v>
      </c>
      <c r="Q35" s="96">
        <f t="shared" si="6"/>
        <v>42683</v>
      </c>
      <c r="U35" s="92">
        <f t="shared" si="22"/>
        <v>686.85275983729696</v>
      </c>
      <c r="V35" s="92">
        <f t="shared" si="23"/>
        <v>0.72</v>
      </c>
      <c r="W35" s="92">
        <f t="shared" si="24"/>
        <v>1181.3867469201507</v>
      </c>
      <c r="X35" s="92">
        <f t="shared" si="25"/>
        <v>494.5339870828538</v>
      </c>
      <c r="Y35" s="92">
        <f t="shared" si="13"/>
        <v>36501.643911135136</v>
      </c>
      <c r="Z35" s="92">
        <f t="shared" si="26"/>
        <v>29177.505237888374</v>
      </c>
      <c r="AA35" s="92">
        <f t="shared" si="27"/>
        <v>-21979.288314793503</v>
      </c>
      <c r="AB35" s="92">
        <f t="shared" si="16"/>
        <v>43699.860834229999</v>
      </c>
      <c r="AC35" s="85">
        <f t="shared" si="28"/>
        <v>91</v>
      </c>
      <c r="AD35">
        <f t="shared" si="29"/>
        <v>59</v>
      </c>
      <c r="AE35">
        <f t="shared" si="30"/>
        <v>32</v>
      </c>
      <c r="AF35">
        <f>SUM($AC$8:AC35)</f>
        <v>2426</v>
      </c>
      <c r="AG35" s="97" t="str">
        <f t="shared" si="31"/>
        <v>1 w   2 d   1 h</v>
      </c>
    </row>
    <row r="36" spans="3:33" ht="16.8" thickTop="1" thickBot="1" x14ac:dyDescent="0.35">
      <c r="C36" s="126"/>
      <c r="D36" s="60" t="s">
        <v>14</v>
      </c>
      <c r="E36" s="63" t="str">
        <f>IFERROR(INDEX(DataTab,MATCH(C33,EtappenNo,0),24),"")</f>
        <v>1 w   1 d   3 h</v>
      </c>
      <c r="F36" s="20"/>
      <c r="G36" s="21" t="str">
        <f>IFERROR("Budget nach " &amp; INDEX(DataTab,MATCH(C33,EtappenNo,0),23) &amp; " trades: ","")</f>
        <v xml:space="preserve">Budget nach 495 trades: </v>
      </c>
      <c r="H36" s="28">
        <f>IFERROR(INDEX(DataTab,MATCH(C33,EtappenNo,0),19),"")</f>
        <v>753.46451200000001</v>
      </c>
      <c r="I36" s="89" t="str">
        <f>IFERROR("(+ " &amp; ROUND(((H36/H33)-1)*100,0) &amp; "%)","")</f>
        <v>(+ 21%)</v>
      </c>
      <c r="J36" s="83">
        <f t="shared" si="0"/>
        <v>29</v>
      </c>
      <c r="K36" s="58">
        <f t="shared" si="21"/>
        <v>824.22331180475635</v>
      </c>
      <c r="L36" s="59">
        <v>0.72</v>
      </c>
      <c r="M36" s="102">
        <f t="shared" si="2"/>
        <v>52568.50366924917</v>
      </c>
      <c r="N36" s="104">
        <f t="shared" si="3"/>
        <v>2515</v>
      </c>
      <c r="O36" s="104">
        <f t="shared" si="4"/>
        <v>140</v>
      </c>
      <c r="P36" s="76">
        <f t="shared" si="5"/>
        <v>231</v>
      </c>
      <c r="Q36" s="96">
        <f t="shared" si="6"/>
        <v>42696</v>
      </c>
      <c r="U36" s="92">
        <f t="shared" si="22"/>
        <v>824.22331180475635</v>
      </c>
      <c r="V36" s="92">
        <f t="shared" si="23"/>
        <v>0.72</v>
      </c>
      <c r="W36" s="92">
        <f t="shared" si="24"/>
        <v>1417.6640963041809</v>
      </c>
      <c r="X36" s="92">
        <f t="shared" si="25"/>
        <v>593.44078449942458</v>
      </c>
      <c r="Y36" s="92">
        <f t="shared" si="13"/>
        <v>43699.860834229999</v>
      </c>
      <c r="Z36" s="92">
        <f t="shared" si="26"/>
        <v>34419.565500966622</v>
      </c>
      <c r="AA36" s="92">
        <f t="shared" si="27"/>
        <v>-25550.922665947448</v>
      </c>
      <c r="AB36" s="92">
        <f t="shared" si="16"/>
        <v>52568.50366924917</v>
      </c>
      <c r="AC36" s="85">
        <f t="shared" si="28"/>
        <v>89</v>
      </c>
      <c r="AD36">
        <f t="shared" si="29"/>
        <v>58</v>
      </c>
      <c r="AE36">
        <f t="shared" si="30"/>
        <v>31</v>
      </c>
      <c r="AF36">
        <f>SUM($AC$8:AC36)</f>
        <v>2515</v>
      </c>
      <c r="AG36" s="97" t="str">
        <f t="shared" si="31"/>
        <v>1 w   1 d   3 h</v>
      </c>
    </row>
    <row r="37" spans="3:33" ht="15" thickBot="1" x14ac:dyDescent="0.35">
      <c r="I37" s="90"/>
      <c r="J37" s="83">
        <f t="shared" si="0"/>
        <v>30</v>
      </c>
      <c r="K37" s="58">
        <f t="shared" si="21"/>
        <v>989.0679741657076</v>
      </c>
      <c r="L37" s="59">
        <v>0.72</v>
      </c>
      <c r="M37" s="102">
        <f t="shared" si="2"/>
        <v>62933.936038505781</v>
      </c>
      <c r="N37" s="104">
        <f t="shared" si="3"/>
        <v>2606</v>
      </c>
      <c r="O37" s="104">
        <f t="shared" si="4"/>
        <v>145</v>
      </c>
      <c r="P37" s="76">
        <f t="shared" si="5"/>
        <v>240</v>
      </c>
      <c r="Q37" s="96">
        <f t="shared" si="6"/>
        <v>42709</v>
      </c>
      <c r="U37" s="92">
        <f t="shared" si="22"/>
        <v>989.0679741657076</v>
      </c>
      <c r="V37" s="92">
        <f t="shared" si="23"/>
        <v>0.72</v>
      </c>
      <c r="W37" s="92">
        <f t="shared" si="24"/>
        <v>1701.1969155650172</v>
      </c>
      <c r="X37" s="92">
        <f t="shared" si="25"/>
        <v>712.1289413993095</v>
      </c>
      <c r="Y37" s="92">
        <f t="shared" si="13"/>
        <v>52568.50366924917</v>
      </c>
      <c r="Z37" s="92">
        <f t="shared" si="26"/>
        <v>42015.607542559257</v>
      </c>
      <c r="AA37" s="92">
        <f t="shared" si="27"/>
        <v>-31650.175173302643</v>
      </c>
      <c r="AB37" s="92">
        <f t="shared" si="16"/>
        <v>62933.936038505781</v>
      </c>
      <c r="AC37" s="85">
        <f t="shared" si="28"/>
        <v>91</v>
      </c>
      <c r="AD37">
        <f t="shared" si="29"/>
        <v>59</v>
      </c>
      <c r="AE37">
        <f t="shared" si="30"/>
        <v>32</v>
      </c>
      <c r="AF37">
        <f>SUM($AC$8:AC37)</f>
        <v>2606</v>
      </c>
      <c r="AG37" s="97" t="str">
        <f t="shared" si="31"/>
        <v>1 w   2 d   1 h</v>
      </c>
    </row>
    <row r="38" spans="3:33" ht="15.6" customHeight="1" x14ac:dyDescent="0.3">
      <c r="C38" s="124">
        <f>C33+1</f>
        <v>7</v>
      </c>
      <c r="D38" s="23">
        <f>IFERROR(INDEX(DataTab,MATCH(C38,EtappenNo,0),12),"")</f>
        <v>14.929920000000001</v>
      </c>
      <c r="E38" s="24">
        <f>IFERROR(INDEX(DataTab,MATCH(C38,EtappenNo,0),3),"")</f>
        <v>0.72</v>
      </c>
      <c r="F38" s="22">
        <f>IFERROR(INDEX(DataTab,MATCH(C38,EtappenNo,0),14),"")</f>
        <v>25.679462400000002</v>
      </c>
      <c r="G38" s="25">
        <f>IFERROR(INDEX(DataTab,MATCH(C38,EtappenNo,0),15),"")</f>
        <v>10.749542400000001</v>
      </c>
      <c r="H38" s="87">
        <f>IFERROR(INDEX(DataTab,MATCH(C38,EtappenNo,0),16),"")</f>
        <v>753.46451200000001</v>
      </c>
      <c r="I38" s="90"/>
      <c r="J38" s="83">
        <f t="shared" si="0"/>
        <v>31</v>
      </c>
      <c r="K38" s="58">
        <f t="shared" si="21"/>
        <v>1186.8815689988492</v>
      </c>
      <c r="L38" s="59">
        <v>0.72</v>
      </c>
      <c r="M38" s="102">
        <f t="shared" si="2"/>
        <v>75704.781720933388</v>
      </c>
      <c r="N38" s="104">
        <f t="shared" si="3"/>
        <v>2695</v>
      </c>
      <c r="O38" s="104">
        <f t="shared" si="4"/>
        <v>150</v>
      </c>
      <c r="P38" s="76">
        <f t="shared" si="5"/>
        <v>247</v>
      </c>
      <c r="Q38" s="96">
        <f t="shared" si="6"/>
        <v>42718</v>
      </c>
      <c r="U38" s="92">
        <f t="shared" si="22"/>
        <v>1186.8815689988492</v>
      </c>
      <c r="V38" s="92">
        <f t="shared" si="23"/>
        <v>0.72</v>
      </c>
      <c r="W38" s="92">
        <f t="shared" si="24"/>
        <v>2041.4362986780206</v>
      </c>
      <c r="X38" s="92">
        <f t="shared" si="25"/>
        <v>854.55472967917137</v>
      </c>
      <c r="Y38" s="92">
        <f t="shared" si="13"/>
        <v>62933.936038505781</v>
      </c>
      <c r="Z38" s="92">
        <f t="shared" si="26"/>
        <v>49564.17432139194</v>
      </c>
      <c r="AA38" s="92">
        <f t="shared" si="27"/>
        <v>-36793.328638964325</v>
      </c>
      <c r="AB38" s="92">
        <f t="shared" si="16"/>
        <v>75704.781720933388</v>
      </c>
      <c r="AC38" s="85">
        <f t="shared" si="28"/>
        <v>89</v>
      </c>
      <c r="AD38">
        <f t="shared" si="29"/>
        <v>58</v>
      </c>
      <c r="AE38">
        <f t="shared" si="30"/>
        <v>31</v>
      </c>
      <c r="AF38">
        <f>SUM($AC$8:AC38)</f>
        <v>2695</v>
      </c>
      <c r="AG38" s="97" t="str">
        <f t="shared" si="31"/>
        <v>1 w   1 d   3 h</v>
      </c>
    </row>
    <row r="39" spans="3:33" ht="15.6" x14ac:dyDescent="0.3">
      <c r="C39" s="125"/>
      <c r="D39" s="62" t="s">
        <v>6</v>
      </c>
      <c r="E39" s="127">
        <f>IFERROR(INDEX(DataTab,MATCH(C38,EtappenNo,0),20),"")</f>
        <v>86</v>
      </c>
      <c r="F39" s="26">
        <f>IFERROR(INDEX(DataTab,MATCH(C38,EtappenNo,0),21),"")</f>
        <v>56</v>
      </c>
      <c r="G39" s="16" t="str">
        <f>"gewonnen (" &amp; $K$3*100 &amp; "%): "</f>
        <v xml:space="preserve">gewonnen (65%): </v>
      </c>
      <c r="H39" s="18">
        <f>IFERROR(INDEX(DataTab,MATCH(C38,EtappenNo,0),17),"")</f>
        <v>601.9743744000001</v>
      </c>
      <c r="I39" s="90"/>
      <c r="J39" s="83">
        <f t="shared" si="0"/>
        <v>32</v>
      </c>
      <c r="K39" s="58">
        <f t="shared" si="21"/>
        <v>1424.257882798619</v>
      </c>
      <c r="L39" s="59">
        <v>0.72</v>
      </c>
      <c r="M39" s="102">
        <f t="shared" si="2"/>
        <v>90631.004332662909</v>
      </c>
      <c r="N39" s="104">
        <f t="shared" si="3"/>
        <v>2786</v>
      </c>
      <c r="O39" s="104">
        <f t="shared" si="4"/>
        <v>155</v>
      </c>
      <c r="P39" s="76">
        <f t="shared" si="5"/>
        <v>256</v>
      </c>
      <c r="Q39" s="96">
        <f t="shared" si="6"/>
        <v>42731</v>
      </c>
      <c r="U39" s="92">
        <f t="shared" si="22"/>
        <v>1424.257882798619</v>
      </c>
      <c r="V39" s="92">
        <f t="shared" si="23"/>
        <v>0.72</v>
      </c>
      <c r="W39" s="92">
        <f t="shared" si="24"/>
        <v>2449.7235584136247</v>
      </c>
      <c r="X39" s="92">
        <f t="shared" si="25"/>
        <v>1025.4656756150057</v>
      </c>
      <c r="Y39" s="92">
        <f t="shared" si="13"/>
        <v>75704.781720933388</v>
      </c>
      <c r="Z39" s="92">
        <f t="shared" si="26"/>
        <v>60502.474861285336</v>
      </c>
      <c r="AA39" s="92">
        <f t="shared" si="27"/>
        <v>-45576.252249555808</v>
      </c>
      <c r="AB39" s="92">
        <f t="shared" si="16"/>
        <v>90631.004332662909</v>
      </c>
      <c r="AC39" s="85">
        <f t="shared" si="28"/>
        <v>91</v>
      </c>
      <c r="AD39">
        <f t="shared" si="29"/>
        <v>59</v>
      </c>
      <c r="AE39">
        <f t="shared" si="30"/>
        <v>32</v>
      </c>
      <c r="AF39">
        <f>SUM($AC$8:AC39)</f>
        <v>2786</v>
      </c>
      <c r="AG39" s="97" t="str">
        <f t="shared" si="31"/>
        <v>1 w   2 d   1 h</v>
      </c>
    </row>
    <row r="40" spans="3:33" ht="16.2" thickBot="1" x14ac:dyDescent="0.35">
      <c r="C40" s="125"/>
      <c r="D40" s="61" t="s">
        <v>7</v>
      </c>
      <c r="E40" s="128"/>
      <c r="F40" s="27">
        <f>IFERROR(INDEX(DataTab,MATCH(C38,EtappenNo,0),22),"")</f>
        <v>30</v>
      </c>
      <c r="G40" s="15" t="str">
        <f xml:space="preserve"> " verloren (" &amp; (1-$K$3)*100 &amp; "%): "</f>
        <v xml:space="preserve"> verloren (35%): </v>
      </c>
      <c r="H40" s="19">
        <f>IFERROR(INDEX(DataTab,MATCH(C38,EtappenNo,0),18),"")</f>
        <v>-447.89760000000001</v>
      </c>
      <c r="I40" s="90"/>
      <c r="J40" s="83">
        <f t="shared" ref="J40:J71" si="32">IF(Y40=0,"",ROW(J40)-ROW($J$7))</f>
        <v>33</v>
      </c>
      <c r="K40" s="58">
        <f t="shared" si="21"/>
        <v>1709.1094593583427</v>
      </c>
      <c r="L40" s="59">
        <v>0.72</v>
      </c>
      <c r="M40" s="102">
        <f>IF(AB40=0,"",AB40)</f>
        <v>109021.02211535868</v>
      </c>
      <c r="N40" s="104">
        <f>IF(Y40=0,"",AF40)</f>
        <v>2875</v>
      </c>
      <c r="O40" s="104">
        <f t="shared" ref="O40:O71" si="33">IF(Y40=0,"",ROUNDUP(N40/($Q$2*$Q$3),0))</f>
        <v>160</v>
      </c>
      <c r="P40" s="76">
        <f t="shared" ref="P40:P71" si="34">IF(Y40=0,"",(INT(N40/($S$3*$Q$3*$Q$2))*5)+INT((N40-(INT(N40/($S$3*$Q$3*$Q$2))*$S$3*$Q$3*$Q$2))/($Q$3*$Q$2)))</f>
        <v>265</v>
      </c>
      <c r="Q40" s="96">
        <f t="shared" ref="Q40:Q71" si="35">IFERROR(P40+INT((P40+MOD($Q$7-2-(MOD($Q$7,7)&lt;2)*(MOD($Q$7,7)+1),7))/5)*2+$Q$7-(MOD($Q$7,7)&lt;2)*(MOD($Q$7,7))-(MOD($Q$7,7)&lt;2),"")</f>
        <v>42744</v>
      </c>
      <c r="U40" s="92">
        <f t="shared" si="22"/>
        <v>1709.1094593583427</v>
      </c>
      <c r="V40" s="92">
        <f t="shared" si="23"/>
        <v>0.72</v>
      </c>
      <c r="W40" s="92">
        <f t="shared" si="24"/>
        <v>2939.6682700963493</v>
      </c>
      <c r="X40" s="92">
        <f t="shared" si="25"/>
        <v>1230.5588107380067</v>
      </c>
      <c r="Y40" s="92">
        <f t="shared" si="13"/>
        <v>90631.004332662909</v>
      </c>
      <c r="Z40" s="92">
        <f t="shared" si="26"/>
        <v>71372.411022804386</v>
      </c>
      <c r="AA40" s="92">
        <f t="shared" si="27"/>
        <v>-52982.393240108628</v>
      </c>
      <c r="AB40" s="92">
        <f t="shared" si="16"/>
        <v>109021.02211535868</v>
      </c>
      <c r="AC40" s="85">
        <f t="shared" si="28"/>
        <v>89</v>
      </c>
      <c r="AD40">
        <f t="shared" si="29"/>
        <v>58</v>
      </c>
      <c r="AE40">
        <f t="shared" si="30"/>
        <v>31</v>
      </c>
      <c r="AF40">
        <f>SUM($AC$8:AC40)</f>
        <v>2875</v>
      </c>
      <c r="AG40" s="97" t="str">
        <f t="shared" si="31"/>
        <v>1 w   1 d   3 h</v>
      </c>
    </row>
    <row r="41" spans="3:33" ht="16.8" thickTop="1" thickBot="1" x14ac:dyDescent="0.35">
      <c r="C41" s="126"/>
      <c r="D41" s="60" t="s">
        <v>14</v>
      </c>
      <c r="E41" s="63" t="str">
        <f>IFERROR(INDEX(DataTab,MATCH(C38,EtappenNo,0),24),"")</f>
        <v>1 w   1 d   3 h</v>
      </c>
      <c r="F41" s="20"/>
      <c r="G41" s="21" t="str">
        <f>IFERROR("Budget nach " &amp; INDEX(DataTab,MATCH(C38,EtappenNo,0),23) &amp; " trades: ","")</f>
        <v xml:space="preserve">Budget nach 581 trades: </v>
      </c>
      <c r="H41" s="28">
        <f>IFERROR(INDEX(DataTab,MATCH(C38,EtappenNo,0),19),"")</f>
        <v>907.54128640000022</v>
      </c>
      <c r="I41" s="89" t="str">
        <f>IFERROR("(+ " &amp; ROUND(((H41/H38)-1)*100,0) &amp; "%)","")</f>
        <v>(+ 20%)</v>
      </c>
      <c r="J41" s="83">
        <f t="shared" si="32"/>
        <v>34</v>
      </c>
      <c r="K41" s="58">
        <f t="shared" si="21"/>
        <v>2000</v>
      </c>
      <c r="L41" s="59">
        <v>0.72</v>
      </c>
      <c r="M41" s="102">
        <f t="shared" ref="M41:M104" si="36">IF(AB41=0,"",AB41)</f>
        <v>129981.02211535868</v>
      </c>
      <c r="N41" s="104">
        <f t="shared" ref="N41:N104" si="37">IF(Y41=0,"",AF41)</f>
        <v>2966</v>
      </c>
      <c r="O41" s="104">
        <f t="shared" si="33"/>
        <v>165</v>
      </c>
      <c r="P41" s="76">
        <f t="shared" si="34"/>
        <v>272</v>
      </c>
      <c r="Q41" s="96">
        <f t="shared" si="35"/>
        <v>42753</v>
      </c>
      <c r="U41" s="92">
        <f t="shared" si="22"/>
        <v>2000</v>
      </c>
      <c r="V41" s="92">
        <f t="shared" si="23"/>
        <v>0.72</v>
      </c>
      <c r="W41" s="92">
        <f t="shared" si="24"/>
        <v>3440</v>
      </c>
      <c r="X41" s="92">
        <f t="shared" si="25"/>
        <v>1440</v>
      </c>
      <c r="Y41" s="92">
        <f t="shared" si="13"/>
        <v>109021.02211535868</v>
      </c>
      <c r="Z41" s="92">
        <f t="shared" si="26"/>
        <v>84960</v>
      </c>
      <c r="AA41" s="92">
        <f t="shared" si="27"/>
        <v>-64000</v>
      </c>
      <c r="AB41" s="92">
        <f t="shared" si="16"/>
        <v>129981.02211535868</v>
      </c>
      <c r="AC41" s="85">
        <f t="shared" si="28"/>
        <v>91</v>
      </c>
      <c r="AD41">
        <f t="shared" si="29"/>
        <v>59</v>
      </c>
      <c r="AE41">
        <f t="shared" si="30"/>
        <v>32</v>
      </c>
      <c r="AF41">
        <f>SUM($AC$8:AC41)</f>
        <v>2966</v>
      </c>
      <c r="AG41" s="97" t="str">
        <f t="shared" si="31"/>
        <v>1 w   2 d   1 h</v>
      </c>
    </row>
    <row r="42" spans="3:33" ht="15" thickBot="1" x14ac:dyDescent="0.35">
      <c r="I42" s="90"/>
      <c r="J42" s="83">
        <f t="shared" si="32"/>
        <v>35</v>
      </c>
      <c r="K42" s="58">
        <f t="shared" si="21"/>
        <v>2000</v>
      </c>
      <c r="L42" s="57">
        <v>0.72</v>
      </c>
      <c r="M42" s="102">
        <f t="shared" si="36"/>
        <v>155661.02211535868</v>
      </c>
      <c r="N42" s="104">
        <f t="shared" si="37"/>
        <v>3077</v>
      </c>
      <c r="O42" s="104">
        <f t="shared" si="33"/>
        <v>171</v>
      </c>
      <c r="P42" s="76">
        <f t="shared" si="34"/>
        <v>282</v>
      </c>
      <c r="Q42" s="96">
        <f t="shared" si="35"/>
        <v>42767</v>
      </c>
      <c r="U42" s="92">
        <f t="shared" si="22"/>
        <v>2000</v>
      </c>
      <c r="V42" s="92">
        <f t="shared" si="23"/>
        <v>0.72</v>
      </c>
      <c r="W42" s="92">
        <f t="shared" si="24"/>
        <v>3440</v>
      </c>
      <c r="X42" s="92">
        <f t="shared" si="25"/>
        <v>1440</v>
      </c>
      <c r="Y42" s="92">
        <f t="shared" si="13"/>
        <v>129981.02211535868</v>
      </c>
      <c r="Z42" s="92">
        <f t="shared" si="26"/>
        <v>103680</v>
      </c>
      <c r="AA42" s="92">
        <f t="shared" si="27"/>
        <v>-78000</v>
      </c>
      <c r="AB42" s="92">
        <f t="shared" si="16"/>
        <v>155661.02211535868</v>
      </c>
      <c r="AC42" s="85">
        <f t="shared" si="28"/>
        <v>111</v>
      </c>
      <c r="AD42">
        <f t="shared" si="29"/>
        <v>72</v>
      </c>
      <c r="AE42">
        <f t="shared" si="30"/>
        <v>39</v>
      </c>
      <c r="AF42">
        <f>SUM($AC$8:AC42)</f>
        <v>3077</v>
      </c>
      <c r="AG42" s="97" t="str">
        <f t="shared" si="31"/>
        <v>2 w   0 d   1 h</v>
      </c>
    </row>
    <row r="43" spans="3:33" ht="15.6" customHeight="1" x14ac:dyDescent="0.3">
      <c r="C43" s="124">
        <f>C38+1</f>
        <v>8</v>
      </c>
      <c r="D43" s="23">
        <f>IFERROR(INDEX(DataTab,MATCH(C43,EtappenNo,0),12),"")</f>
        <v>17.915904000000001</v>
      </c>
      <c r="E43" s="24">
        <f>IFERROR(INDEX(DataTab,MATCH(C43,EtappenNo,0),3),"")</f>
        <v>0.71</v>
      </c>
      <c r="F43" s="22">
        <f>IFERROR(INDEX(DataTab,MATCH(C43,EtappenNo,0),14),"")</f>
        <v>30.636195839999999</v>
      </c>
      <c r="G43" s="25">
        <f>IFERROR(INDEX(DataTab,MATCH(C43,EtappenNo,0),15),"")</f>
        <v>12.72029184</v>
      </c>
      <c r="H43" s="87">
        <f>IFERROR(INDEX(DataTab,MATCH(C43,EtappenNo,0),16),"")</f>
        <v>907.54128640000022</v>
      </c>
      <c r="I43" s="90"/>
      <c r="J43" s="83">
        <f t="shared" si="32"/>
        <v>36</v>
      </c>
      <c r="K43" s="58">
        <f t="shared" si="21"/>
        <v>2000</v>
      </c>
      <c r="L43" s="59">
        <v>0.72</v>
      </c>
      <c r="M43" s="102">
        <f t="shared" si="36"/>
        <v>186061.02211535868</v>
      </c>
      <c r="N43" s="104">
        <f t="shared" si="37"/>
        <v>3208</v>
      </c>
      <c r="O43" s="104">
        <f t="shared" si="33"/>
        <v>179</v>
      </c>
      <c r="P43" s="76">
        <f t="shared" si="34"/>
        <v>296</v>
      </c>
      <c r="Q43" s="96">
        <f t="shared" si="35"/>
        <v>42787</v>
      </c>
      <c r="U43" s="92">
        <f t="shared" si="22"/>
        <v>2000</v>
      </c>
      <c r="V43" s="92">
        <f t="shared" si="23"/>
        <v>0.72</v>
      </c>
      <c r="W43" s="92">
        <f t="shared" si="24"/>
        <v>3440</v>
      </c>
      <c r="X43" s="92">
        <f t="shared" si="25"/>
        <v>1440</v>
      </c>
      <c r="Y43" s="92">
        <f t="shared" si="13"/>
        <v>155661.02211535868</v>
      </c>
      <c r="Z43" s="92">
        <f t="shared" si="26"/>
        <v>122400</v>
      </c>
      <c r="AA43" s="92">
        <f t="shared" si="27"/>
        <v>-92000</v>
      </c>
      <c r="AB43" s="92">
        <f t="shared" si="16"/>
        <v>186061.02211535868</v>
      </c>
      <c r="AC43" s="85">
        <f t="shared" si="28"/>
        <v>131</v>
      </c>
      <c r="AD43">
        <f t="shared" si="29"/>
        <v>85</v>
      </c>
      <c r="AE43">
        <f t="shared" si="30"/>
        <v>46</v>
      </c>
      <c r="AF43">
        <f>SUM($AC$8:AC43)</f>
        <v>3208</v>
      </c>
      <c r="AG43" s="97" t="str">
        <f t="shared" si="31"/>
        <v>2 w   1 d   1 h</v>
      </c>
    </row>
    <row r="44" spans="3:33" ht="15.6" x14ac:dyDescent="0.3">
      <c r="C44" s="125"/>
      <c r="D44" s="62" t="s">
        <v>6</v>
      </c>
      <c r="E44" s="127">
        <f>IFERROR(INDEX(DataTab,MATCH(C43,EtappenNo,0),20),"")</f>
        <v>91</v>
      </c>
      <c r="F44" s="26">
        <f>IFERROR(INDEX(DataTab,MATCH(C43,EtappenNo,0),21),"")</f>
        <v>59</v>
      </c>
      <c r="G44" s="16" t="str">
        <f>"gewonnen (" &amp; $K$3*100 &amp; "%): "</f>
        <v xml:space="preserve">gewonnen (65%): </v>
      </c>
      <c r="H44" s="18">
        <f>IFERROR(INDEX(DataTab,MATCH(C43,EtappenNo,0),17),"")</f>
        <v>750.49721855999996</v>
      </c>
      <c r="I44" s="90"/>
      <c r="J44" s="83">
        <f t="shared" si="32"/>
        <v>37</v>
      </c>
      <c r="K44" s="58">
        <f t="shared" si="21"/>
        <v>2000</v>
      </c>
      <c r="L44" s="59">
        <v>0.72</v>
      </c>
      <c r="M44" s="102">
        <f t="shared" si="36"/>
        <v>222941.02211535868</v>
      </c>
      <c r="N44" s="104">
        <f t="shared" si="37"/>
        <v>3365</v>
      </c>
      <c r="O44" s="104">
        <f t="shared" si="33"/>
        <v>187</v>
      </c>
      <c r="P44" s="76">
        <f t="shared" si="34"/>
        <v>310</v>
      </c>
      <c r="Q44" s="96">
        <f t="shared" si="35"/>
        <v>42807</v>
      </c>
      <c r="U44" s="92">
        <f t="shared" si="22"/>
        <v>2000</v>
      </c>
      <c r="V44" s="92">
        <f t="shared" si="23"/>
        <v>0.72</v>
      </c>
      <c r="W44" s="92">
        <f t="shared" si="24"/>
        <v>3440</v>
      </c>
      <c r="X44" s="92">
        <f t="shared" si="25"/>
        <v>1440</v>
      </c>
      <c r="Y44" s="92">
        <f t="shared" si="13"/>
        <v>186061.02211535868</v>
      </c>
      <c r="Z44" s="92">
        <f t="shared" si="26"/>
        <v>146880</v>
      </c>
      <c r="AA44" s="92">
        <f t="shared" si="27"/>
        <v>-110000</v>
      </c>
      <c r="AB44" s="92">
        <f t="shared" si="16"/>
        <v>222941.02211535868</v>
      </c>
      <c r="AC44" s="85">
        <f t="shared" si="28"/>
        <v>157</v>
      </c>
      <c r="AD44">
        <f t="shared" si="29"/>
        <v>102</v>
      </c>
      <c r="AE44">
        <f t="shared" si="30"/>
        <v>55</v>
      </c>
      <c r="AF44">
        <f>SUM($AC$8:AC44)</f>
        <v>3365</v>
      </c>
      <c r="AG44" s="97" t="str">
        <f t="shared" si="31"/>
        <v>2 w   2 d   3 h</v>
      </c>
    </row>
    <row r="45" spans="3:33" ht="16.2" thickBot="1" x14ac:dyDescent="0.35">
      <c r="C45" s="125"/>
      <c r="D45" s="61" t="s">
        <v>7</v>
      </c>
      <c r="E45" s="128"/>
      <c r="F45" s="27">
        <f>IFERROR(INDEX(DataTab,MATCH(C43,EtappenNo,0),22),"")</f>
        <v>32</v>
      </c>
      <c r="G45" s="15" t="str">
        <f xml:space="preserve"> " verloren (" &amp; (1-$K$3)*100 &amp; "%): "</f>
        <v xml:space="preserve"> verloren (35%): </v>
      </c>
      <c r="H45" s="19">
        <f>IFERROR(INDEX(DataTab,MATCH(C43,EtappenNo,0),18),"")</f>
        <v>-573.30892800000004</v>
      </c>
      <c r="I45" s="90"/>
      <c r="J45" s="83">
        <f t="shared" si="32"/>
        <v>38</v>
      </c>
      <c r="K45" s="58">
        <f t="shared" si="21"/>
        <v>2000</v>
      </c>
      <c r="L45" s="59">
        <v>0.72</v>
      </c>
      <c r="M45" s="102">
        <f t="shared" si="36"/>
        <v>268061.02211535868</v>
      </c>
      <c r="N45" s="104">
        <f t="shared" si="37"/>
        <v>3554</v>
      </c>
      <c r="O45" s="104">
        <f t="shared" si="33"/>
        <v>198</v>
      </c>
      <c r="P45" s="76">
        <f t="shared" si="34"/>
        <v>327</v>
      </c>
      <c r="Q45" s="96">
        <f t="shared" si="35"/>
        <v>42830</v>
      </c>
      <c r="U45" s="92">
        <f t="shared" si="22"/>
        <v>2000</v>
      </c>
      <c r="V45" s="92">
        <f t="shared" si="23"/>
        <v>0.72</v>
      </c>
      <c r="W45" s="92">
        <f t="shared" si="24"/>
        <v>3440</v>
      </c>
      <c r="X45" s="92">
        <f t="shared" si="25"/>
        <v>1440</v>
      </c>
      <c r="Y45" s="92">
        <f t="shared" si="13"/>
        <v>222941.02211535868</v>
      </c>
      <c r="Z45" s="92">
        <f t="shared" si="26"/>
        <v>177120</v>
      </c>
      <c r="AA45" s="92">
        <f t="shared" si="27"/>
        <v>-132000</v>
      </c>
      <c r="AB45" s="92">
        <f t="shared" si="16"/>
        <v>268061.02211535868</v>
      </c>
      <c r="AC45" s="85">
        <f t="shared" si="28"/>
        <v>189</v>
      </c>
      <c r="AD45">
        <f t="shared" si="29"/>
        <v>123</v>
      </c>
      <c r="AE45">
        <f t="shared" si="30"/>
        <v>66</v>
      </c>
      <c r="AF45">
        <f>SUM($AC$8:AC45)</f>
        <v>3554</v>
      </c>
      <c r="AG45" s="97" t="str">
        <f t="shared" si="31"/>
        <v>3 w   1 d   2 h</v>
      </c>
    </row>
    <row r="46" spans="3:33" ht="16.8" thickTop="1" thickBot="1" x14ac:dyDescent="0.35">
      <c r="C46" s="126"/>
      <c r="D46" s="60" t="s">
        <v>14</v>
      </c>
      <c r="E46" s="63" t="str">
        <f>IFERROR(INDEX(DataTab,MATCH(C43,EtappenNo,0),24),"")</f>
        <v>1 w   2 d   1 h</v>
      </c>
      <c r="F46" s="20"/>
      <c r="G46" s="21" t="str">
        <f>IFERROR("Budget nach " &amp; INDEX(DataTab,MATCH(C43,EtappenNo,0),23) &amp; " trades: ","")</f>
        <v xml:space="preserve">Budget nach 672 trades: </v>
      </c>
      <c r="H46" s="28">
        <f>IFERROR(INDEX(DataTab,MATCH(C43,EtappenNo,0),19),"")</f>
        <v>1084.72957696</v>
      </c>
      <c r="I46" s="89" t="str">
        <f>IFERROR("(+ " &amp; ROUND(((H46/H43)-1)*100,0) &amp; "%)","")</f>
        <v>(+ 20%)</v>
      </c>
      <c r="J46" s="83">
        <f t="shared" si="32"/>
        <v>39</v>
      </c>
      <c r="K46" s="58">
        <f t="shared" si="21"/>
        <v>2000</v>
      </c>
      <c r="L46" s="59">
        <v>0.72</v>
      </c>
      <c r="M46" s="102">
        <f t="shared" si="36"/>
        <v>322621.02211535868</v>
      </c>
      <c r="N46" s="104">
        <f t="shared" si="37"/>
        <v>3783</v>
      </c>
      <c r="O46" s="104">
        <f t="shared" si="33"/>
        <v>211</v>
      </c>
      <c r="P46" s="76">
        <f t="shared" si="34"/>
        <v>350</v>
      </c>
      <c r="Q46" s="96">
        <f t="shared" si="35"/>
        <v>42863</v>
      </c>
      <c r="U46" s="92">
        <f t="shared" si="22"/>
        <v>2000</v>
      </c>
      <c r="V46" s="92">
        <f t="shared" si="23"/>
        <v>0.72</v>
      </c>
      <c r="W46" s="92">
        <f t="shared" si="24"/>
        <v>3440</v>
      </c>
      <c r="X46" s="92">
        <f t="shared" si="25"/>
        <v>1440</v>
      </c>
      <c r="Y46" s="92">
        <f t="shared" si="13"/>
        <v>268061.02211535868</v>
      </c>
      <c r="Z46" s="92">
        <f t="shared" si="26"/>
        <v>214560</v>
      </c>
      <c r="AA46" s="92">
        <f t="shared" si="27"/>
        <v>-160000</v>
      </c>
      <c r="AB46" s="92">
        <f t="shared" si="16"/>
        <v>322621.02211535868</v>
      </c>
      <c r="AC46" s="85">
        <f t="shared" si="28"/>
        <v>229</v>
      </c>
      <c r="AD46">
        <f t="shared" si="29"/>
        <v>149</v>
      </c>
      <c r="AE46">
        <f t="shared" si="30"/>
        <v>80</v>
      </c>
      <c r="AF46">
        <f>SUM($AC$8:AC46)</f>
        <v>3783</v>
      </c>
      <c r="AG46" s="97" t="str">
        <f t="shared" si="31"/>
        <v>4 w   0 d   3 h</v>
      </c>
    </row>
    <row r="47" spans="3:33" ht="15" thickBot="1" x14ac:dyDescent="0.35">
      <c r="I47" s="90"/>
      <c r="J47" s="83">
        <f t="shared" si="32"/>
        <v>40</v>
      </c>
      <c r="K47" s="58">
        <f t="shared" si="21"/>
        <v>2000</v>
      </c>
      <c r="L47" s="59">
        <v>0.72</v>
      </c>
      <c r="M47" s="102">
        <f t="shared" si="36"/>
        <v>386941.02211535862</v>
      </c>
      <c r="N47" s="104">
        <f t="shared" si="37"/>
        <v>4057</v>
      </c>
      <c r="O47" s="104">
        <f t="shared" si="33"/>
        <v>226</v>
      </c>
      <c r="P47" s="76">
        <f t="shared" si="34"/>
        <v>375</v>
      </c>
      <c r="Q47" s="96">
        <f t="shared" si="35"/>
        <v>42898</v>
      </c>
      <c r="U47" s="92">
        <f t="shared" si="22"/>
        <v>2000</v>
      </c>
      <c r="V47" s="92">
        <f t="shared" si="23"/>
        <v>0.72</v>
      </c>
      <c r="W47" s="92">
        <f t="shared" si="24"/>
        <v>3440</v>
      </c>
      <c r="X47" s="92">
        <f t="shared" si="25"/>
        <v>1440</v>
      </c>
      <c r="Y47" s="92">
        <f t="shared" si="13"/>
        <v>322621.02211535868</v>
      </c>
      <c r="Z47" s="92">
        <f t="shared" si="26"/>
        <v>256320</v>
      </c>
      <c r="AA47" s="92">
        <f t="shared" si="27"/>
        <v>-192000</v>
      </c>
      <c r="AB47" s="92">
        <f t="shared" si="16"/>
        <v>386941.02211535862</v>
      </c>
      <c r="AC47" s="85">
        <f t="shared" si="28"/>
        <v>274</v>
      </c>
      <c r="AD47">
        <f t="shared" si="29"/>
        <v>178</v>
      </c>
      <c r="AE47">
        <f t="shared" si="30"/>
        <v>96</v>
      </c>
      <c r="AF47">
        <f>SUM($AC$8:AC47)</f>
        <v>4057</v>
      </c>
      <c r="AG47" s="97" t="str">
        <f t="shared" si="31"/>
        <v>5 w   0 d   1 h</v>
      </c>
    </row>
    <row r="48" spans="3:33" ht="15.6" customHeight="1" x14ac:dyDescent="0.3">
      <c r="C48" s="124">
        <f>C43+1</f>
        <v>9</v>
      </c>
      <c r="D48" s="23">
        <f>IFERROR(INDEX(DataTab,MATCH(C48,EtappenNo,0),12),"")</f>
        <v>21.499084800000002</v>
      </c>
      <c r="E48" s="24">
        <f>IFERROR(INDEX(DataTab,MATCH(C48,EtappenNo,0),3),"")</f>
        <v>0.72</v>
      </c>
      <c r="F48" s="22">
        <f>IFERROR(INDEX(DataTab,MATCH(C48,EtappenNo,0),14),"")</f>
        <v>36.978425856000001</v>
      </c>
      <c r="G48" s="25">
        <f>IFERROR(INDEX(DataTab,MATCH(C48,EtappenNo,0),15),"")</f>
        <v>15.479341056000001</v>
      </c>
      <c r="H48" s="87">
        <f>IFERROR(INDEX(DataTab,MATCH(C48,EtappenNo,0),16),"")</f>
        <v>1084.72957696</v>
      </c>
      <c r="I48" s="90"/>
      <c r="J48" s="83">
        <f t="shared" si="32"/>
        <v>41</v>
      </c>
      <c r="K48" s="58">
        <f t="shared" si="21"/>
        <v>2000</v>
      </c>
      <c r="L48" s="59">
        <v>0.72</v>
      </c>
      <c r="M48" s="102">
        <f t="shared" si="36"/>
        <v>465101.02211535862</v>
      </c>
      <c r="N48" s="104">
        <f t="shared" si="37"/>
        <v>4386</v>
      </c>
      <c r="O48" s="104">
        <f t="shared" si="33"/>
        <v>244</v>
      </c>
      <c r="P48" s="76">
        <f t="shared" si="34"/>
        <v>405</v>
      </c>
      <c r="Q48" s="96">
        <f t="shared" si="35"/>
        <v>42940</v>
      </c>
      <c r="U48" s="92">
        <f t="shared" si="22"/>
        <v>2000</v>
      </c>
      <c r="V48" s="92">
        <f t="shared" si="23"/>
        <v>0.72</v>
      </c>
      <c r="W48" s="92">
        <f t="shared" si="24"/>
        <v>3440</v>
      </c>
      <c r="X48" s="92">
        <f t="shared" si="25"/>
        <v>1440</v>
      </c>
      <c r="Y48" s="92">
        <f t="shared" si="13"/>
        <v>386941.02211535862</v>
      </c>
      <c r="Z48" s="92">
        <f t="shared" si="26"/>
        <v>308160</v>
      </c>
      <c r="AA48" s="92">
        <f t="shared" si="27"/>
        <v>-230000</v>
      </c>
      <c r="AB48" s="92">
        <f t="shared" si="16"/>
        <v>465101.02211535862</v>
      </c>
      <c r="AC48" s="85">
        <f t="shared" si="28"/>
        <v>329</v>
      </c>
      <c r="AD48">
        <f t="shared" si="29"/>
        <v>214</v>
      </c>
      <c r="AE48">
        <f t="shared" si="30"/>
        <v>115</v>
      </c>
      <c r="AF48">
        <f>SUM($AC$8:AC48)</f>
        <v>4386</v>
      </c>
      <c r="AG48" s="97" t="str">
        <f t="shared" si="31"/>
        <v>6 w   0 d   1 h</v>
      </c>
    </row>
    <row r="49" spans="3:33" ht="15.6" x14ac:dyDescent="0.3">
      <c r="C49" s="125"/>
      <c r="D49" s="62" t="s">
        <v>6</v>
      </c>
      <c r="E49" s="127">
        <f>IFERROR(INDEX(DataTab,MATCH(C48,EtappenNo,0),20),"")</f>
        <v>86</v>
      </c>
      <c r="F49" s="26">
        <f>IFERROR(INDEX(DataTab,MATCH(C48,EtappenNo,0),21),"")</f>
        <v>56</v>
      </c>
      <c r="G49" s="16" t="str">
        <f>"gewonnen (" &amp; $K$3*100 &amp; "%): "</f>
        <v xml:space="preserve">gewonnen (65%): </v>
      </c>
      <c r="H49" s="18">
        <f>IFERROR(INDEX(DataTab,MATCH(C48,EtappenNo,0),17),"")</f>
        <v>866.84309913600009</v>
      </c>
      <c r="I49" s="90"/>
      <c r="J49" s="83">
        <f t="shared" si="32"/>
        <v>42</v>
      </c>
      <c r="K49" s="58">
        <f t="shared" si="21"/>
        <v>2000</v>
      </c>
      <c r="L49" s="59">
        <v>0.72</v>
      </c>
      <c r="M49" s="102">
        <f t="shared" si="36"/>
        <v>557741.02211535862</v>
      </c>
      <c r="N49" s="104">
        <f t="shared" si="37"/>
        <v>4780</v>
      </c>
      <c r="O49" s="104">
        <f t="shared" si="33"/>
        <v>266</v>
      </c>
      <c r="P49" s="76">
        <f t="shared" si="34"/>
        <v>441</v>
      </c>
      <c r="Q49" s="96">
        <f t="shared" si="35"/>
        <v>42990</v>
      </c>
      <c r="U49" s="92">
        <f t="shared" si="22"/>
        <v>2000</v>
      </c>
      <c r="V49" s="92">
        <f t="shared" si="23"/>
        <v>0.72</v>
      </c>
      <c r="W49" s="92">
        <f t="shared" si="24"/>
        <v>3440</v>
      </c>
      <c r="X49" s="92">
        <f t="shared" si="25"/>
        <v>1440</v>
      </c>
      <c r="Y49" s="92">
        <f t="shared" si="13"/>
        <v>465101.02211535862</v>
      </c>
      <c r="Z49" s="92">
        <f t="shared" si="26"/>
        <v>368640</v>
      </c>
      <c r="AA49" s="92">
        <f t="shared" si="27"/>
        <v>-276000</v>
      </c>
      <c r="AB49" s="92">
        <f t="shared" si="16"/>
        <v>557741.02211535862</v>
      </c>
      <c r="AC49" s="85">
        <f t="shared" si="28"/>
        <v>394</v>
      </c>
      <c r="AD49">
        <f t="shared" si="29"/>
        <v>256</v>
      </c>
      <c r="AE49">
        <f t="shared" si="30"/>
        <v>138</v>
      </c>
      <c r="AF49">
        <f>SUM($AC$8:AC49)</f>
        <v>4780</v>
      </c>
      <c r="AG49" s="97" t="str">
        <f t="shared" si="31"/>
        <v>7 w   0 d   3 h</v>
      </c>
    </row>
    <row r="50" spans="3:33" ht="16.2" thickBot="1" x14ac:dyDescent="0.35">
      <c r="C50" s="125"/>
      <c r="D50" s="61" t="s">
        <v>7</v>
      </c>
      <c r="E50" s="128"/>
      <c r="F50" s="27">
        <f>IFERROR(INDEX(DataTab,MATCH(C48,EtappenNo,0),22),"")</f>
        <v>30</v>
      </c>
      <c r="G50" s="15" t="str">
        <f xml:space="preserve"> " verloren (" &amp; (1-$K$3)*100 &amp; "%): "</f>
        <v xml:space="preserve"> verloren (35%): </v>
      </c>
      <c r="H50" s="19">
        <f>IFERROR(INDEX(DataTab,MATCH(C48,EtappenNo,0),18),"")</f>
        <v>-644.97254400000008</v>
      </c>
      <c r="I50" s="90"/>
      <c r="J50" s="83">
        <f t="shared" si="32"/>
        <v>43</v>
      </c>
      <c r="K50" s="58">
        <f t="shared" si="21"/>
        <v>2000</v>
      </c>
      <c r="L50" s="59">
        <v>0.72</v>
      </c>
      <c r="M50" s="102">
        <f t="shared" si="36"/>
        <v>668381.02211535862</v>
      </c>
      <c r="N50" s="104">
        <f t="shared" si="37"/>
        <v>5251</v>
      </c>
      <c r="O50" s="104">
        <f t="shared" si="33"/>
        <v>292</v>
      </c>
      <c r="P50" s="76">
        <f t="shared" si="34"/>
        <v>485</v>
      </c>
      <c r="Q50" s="96">
        <f t="shared" si="35"/>
        <v>43052</v>
      </c>
      <c r="U50" s="92">
        <f t="shared" si="22"/>
        <v>2000</v>
      </c>
      <c r="V50" s="92">
        <f t="shared" si="23"/>
        <v>0.72</v>
      </c>
      <c r="W50" s="92">
        <f t="shared" si="24"/>
        <v>3440</v>
      </c>
      <c r="X50" s="92">
        <f t="shared" si="25"/>
        <v>1440</v>
      </c>
      <c r="Y50" s="92">
        <f t="shared" si="13"/>
        <v>557741.02211535862</v>
      </c>
      <c r="Z50" s="92">
        <f t="shared" si="26"/>
        <v>440640</v>
      </c>
      <c r="AA50" s="92">
        <f t="shared" si="27"/>
        <v>-330000</v>
      </c>
      <c r="AB50" s="92">
        <f t="shared" si="16"/>
        <v>668381.02211535862</v>
      </c>
      <c r="AC50" s="85">
        <f t="shared" si="28"/>
        <v>471</v>
      </c>
      <c r="AD50">
        <f t="shared" si="29"/>
        <v>306</v>
      </c>
      <c r="AE50">
        <f t="shared" si="30"/>
        <v>165</v>
      </c>
      <c r="AF50">
        <f>SUM($AC$8:AC50)</f>
        <v>5251</v>
      </c>
      <c r="AG50" s="97" t="str">
        <f t="shared" si="31"/>
        <v>8 w   2 d   1 h</v>
      </c>
    </row>
    <row r="51" spans="3:33" ht="16.8" thickTop="1" thickBot="1" x14ac:dyDescent="0.35">
      <c r="C51" s="126"/>
      <c r="D51" s="60" t="s">
        <v>14</v>
      </c>
      <c r="E51" s="63" t="str">
        <f>IFERROR(INDEX(DataTab,MATCH(C48,EtappenNo,0),24),"")</f>
        <v>1 w   1 d   3 h</v>
      </c>
      <c r="F51" s="20"/>
      <c r="G51" s="21" t="str">
        <f>IFERROR("Budget nach " &amp; INDEX(DataTab,MATCH(C48,EtappenNo,0),23) &amp; " trades: ","")</f>
        <v xml:space="preserve">Budget nach 758 trades: </v>
      </c>
      <c r="H51" s="28">
        <f>IFERROR(INDEX(DataTab,MATCH(C48,EtappenNo,0),19),"")</f>
        <v>1306.6001320959999</v>
      </c>
      <c r="I51" s="89" t="str">
        <f>IFERROR("(+ " &amp; ROUND(((H51/H48)-1)*100,0) &amp; "%)","")</f>
        <v>(+ 20%)</v>
      </c>
      <c r="J51" s="83">
        <f t="shared" si="32"/>
        <v>44</v>
      </c>
      <c r="K51" s="58">
        <f t="shared" si="21"/>
        <v>2000</v>
      </c>
      <c r="L51" s="59">
        <v>0.72</v>
      </c>
      <c r="M51" s="102">
        <f t="shared" si="36"/>
        <v>802301.02211535862</v>
      </c>
      <c r="N51" s="104">
        <f t="shared" si="37"/>
        <v>5817</v>
      </c>
      <c r="O51" s="104">
        <f t="shared" si="33"/>
        <v>324</v>
      </c>
      <c r="P51" s="76">
        <f t="shared" si="34"/>
        <v>537</v>
      </c>
      <c r="Q51" s="96">
        <f t="shared" si="35"/>
        <v>43124</v>
      </c>
      <c r="U51" s="92">
        <f t="shared" si="22"/>
        <v>2000</v>
      </c>
      <c r="V51" s="92">
        <f t="shared" si="23"/>
        <v>0.72</v>
      </c>
      <c r="W51" s="92">
        <f t="shared" si="24"/>
        <v>3440</v>
      </c>
      <c r="X51" s="92">
        <f t="shared" si="25"/>
        <v>1440</v>
      </c>
      <c r="Y51" s="92">
        <f t="shared" si="13"/>
        <v>668381.02211535862</v>
      </c>
      <c r="Z51" s="92">
        <f t="shared" si="26"/>
        <v>529920</v>
      </c>
      <c r="AA51" s="92">
        <f t="shared" si="27"/>
        <v>-396000</v>
      </c>
      <c r="AB51" s="92">
        <f t="shared" si="16"/>
        <v>802301.02211535862</v>
      </c>
      <c r="AC51" s="85">
        <f t="shared" si="28"/>
        <v>566</v>
      </c>
      <c r="AD51">
        <f t="shared" si="29"/>
        <v>368</v>
      </c>
      <c r="AE51">
        <f t="shared" si="30"/>
        <v>198</v>
      </c>
      <c r="AF51">
        <f>SUM($AC$8:AC51)</f>
        <v>5817</v>
      </c>
      <c r="AG51" s="97" t="str">
        <f t="shared" si="31"/>
        <v>10 w   1 d   2 h</v>
      </c>
    </row>
    <row r="52" spans="3:33" ht="15" thickBot="1" x14ac:dyDescent="0.35">
      <c r="I52" s="90"/>
      <c r="J52" s="83">
        <f t="shared" si="32"/>
        <v>45</v>
      </c>
      <c r="K52" s="58">
        <f t="shared" si="21"/>
        <v>2000</v>
      </c>
      <c r="L52" s="59">
        <v>0.72</v>
      </c>
      <c r="M52" s="102">
        <f t="shared" si="36"/>
        <v>962781.02211535862</v>
      </c>
      <c r="N52" s="104">
        <f t="shared" si="37"/>
        <v>6497</v>
      </c>
      <c r="O52" s="104">
        <f t="shared" si="33"/>
        <v>361</v>
      </c>
      <c r="P52" s="76">
        <f t="shared" si="34"/>
        <v>600</v>
      </c>
      <c r="Q52" s="96">
        <f t="shared" si="35"/>
        <v>43213</v>
      </c>
      <c r="U52" s="92">
        <f t="shared" si="22"/>
        <v>2000</v>
      </c>
      <c r="V52" s="92">
        <f t="shared" si="23"/>
        <v>0.72</v>
      </c>
      <c r="W52" s="92">
        <f t="shared" si="24"/>
        <v>3440</v>
      </c>
      <c r="X52" s="92">
        <f t="shared" si="25"/>
        <v>1440</v>
      </c>
      <c r="Y52" s="92">
        <f t="shared" si="13"/>
        <v>802301.02211535862</v>
      </c>
      <c r="Z52" s="92">
        <f t="shared" si="26"/>
        <v>636480</v>
      </c>
      <c r="AA52" s="92">
        <f t="shared" si="27"/>
        <v>-476000</v>
      </c>
      <c r="AB52" s="92">
        <f t="shared" si="16"/>
        <v>962781.02211535862</v>
      </c>
      <c r="AC52" s="85">
        <f t="shared" si="28"/>
        <v>680</v>
      </c>
      <c r="AD52">
        <f t="shared" si="29"/>
        <v>442</v>
      </c>
      <c r="AE52">
        <f t="shared" si="30"/>
        <v>238</v>
      </c>
      <c r="AF52">
        <f>SUM($AC$8:AC52)</f>
        <v>6497</v>
      </c>
      <c r="AG52" s="97" t="str">
        <f t="shared" si="31"/>
        <v>12 w   1 d   3 h</v>
      </c>
    </row>
    <row r="53" spans="3:33" ht="15.6" customHeight="1" x14ac:dyDescent="0.3">
      <c r="C53" s="124">
        <f>C48+1</f>
        <v>10</v>
      </c>
      <c r="D53" s="23">
        <f>IFERROR(INDEX(DataTab,MATCH(C53,EtappenNo,0),12),"")</f>
        <v>25.798901760000003</v>
      </c>
      <c r="E53" s="24">
        <f>IFERROR(INDEX(DataTab,MATCH(C53,EtappenNo,0),3),"")</f>
        <v>0.72</v>
      </c>
      <c r="F53" s="22">
        <f>IFERROR(INDEX(DataTab,MATCH(C53,EtappenNo,0),14),"")</f>
        <v>44.374111027200001</v>
      </c>
      <c r="G53" s="25">
        <f>IFERROR(INDEX(DataTab,MATCH(C53,EtappenNo,0),15),"")</f>
        <v>18.575209267200002</v>
      </c>
      <c r="H53" s="87">
        <f>IFERROR(INDEX(DataTab,MATCH(C53,EtappenNo,0),16),"")</f>
        <v>1306.6001320959999</v>
      </c>
      <c r="I53" s="90"/>
      <c r="J53" s="83">
        <f t="shared" si="32"/>
        <v>46</v>
      </c>
      <c r="K53" s="58">
        <f t="shared" si="21"/>
        <v>2000</v>
      </c>
      <c r="L53" s="59">
        <v>0.72</v>
      </c>
      <c r="M53" s="102">
        <f t="shared" si="36"/>
        <v>1155421.0221153586</v>
      </c>
      <c r="N53" s="104">
        <f t="shared" si="37"/>
        <v>7314</v>
      </c>
      <c r="O53" s="104">
        <f t="shared" si="33"/>
        <v>407</v>
      </c>
      <c r="P53" s="76">
        <f t="shared" si="34"/>
        <v>676</v>
      </c>
      <c r="Q53" s="96">
        <f t="shared" si="35"/>
        <v>43319</v>
      </c>
      <c r="U53" s="92">
        <f t="shared" si="22"/>
        <v>2000</v>
      </c>
      <c r="V53" s="92">
        <f t="shared" si="23"/>
        <v>0.72</v>
      </c>
      <c r="W53" s="92">
        <f t="shared" si="24"/>
        <v>3440</v>
      </c>
      <c r="X53" s="92">
        <f t="shared" si="25"/>
        <v>1440</v>
      </c>
      <c r="Y53" s="92">
        <f t="shared" si="13"/>
        <v>962781.02211535862</v>
      </c>
      <c r="Z53" s="92">
        <f t="shared" si="26"/>
        <v>764640</v>
      </c>
      <c r="AA53" s="92">
        <f t="shared" si="27"/>
        <v>-572000</v>
      </c>
      <c r="AB53" s="92">
        <f t="shared" si="16"/>
        <v>1155421.0221153586</v>
      </c>
      <c r="AC53" s="85">
        <f t="shared" si="28"/>
        <v>817</v>
      </c>
      <c r="AD53">
        <f t="shared" si="29"/>
        <v>531</v>
      </c>
      <c r="AE53">
        <f t="shared" si="30"/>
        <v>286</v>
      </c>
      <c r="AF53">
        <f>SUM($AC$8:AC53)</f>
        <v>7314</v>
      </c>
      <c r="AG53" s="97" t="str">
        <f t="shared" si="31"/>
        <v>15 w   0 d   2 h</v>
      </c>
    </row>
    <row r="54" spans="3:33" ht="15.6" x14ac:dyDescent="0.3">
      <c r="C54" s="125"/>
      <c r="D54" s="62" t="s">
        <v>6</v>
      </c>
      <c r="E54" s="127">
        <f>IFERROR(INDEX(DataTab,MATCH(C53,EtappenNo,0),20),"")</f>
        <v>86</v>
      </c>
      <c r="F54" s="26">
        <f>IFERROR(INDEX(DataTab,MATCH(C53,EtappenNo,0),21),"")</f>
        <v>56</v>
      </c>
      <c r="G54" s="16" t="str">
        <f>"gewonnen (" &amp; $K$3*100 &amp; "%): "</f>
        <v xml:space="preserve">gewonnen (65%): </v>
      </c>
      <c r="H54" s="18">
        <f>IFERROR(INDEX(DataTab,MATCH(C53,EtappenNo,0),17),"")</f>
        <v>1040.2117189632002</v>
      </c>
      <c r="I54" s="90"/>
      <c r="J54" s="83">
        <f t="shared" si="32"/>
        <v>47</v>
      </c>
      <c r="K54" s="58">
        <f t="shared" si="21"/>
        <v>2000</v>
      </c>
      <c r="L54" s="59">
        <v>0.72</v>
      </c>
      <c r="M54" s="102">
        <f t="shared" si="36"/>
        <v>1386701.0221153586</v>
      </c>
      <c r="N54" s="104">
        <f t="shared" si="37"/>
        <v>8294</v>
      </c>
      <c r="O54" s="104">
        <f t="shared" si="33"/>
        <v>461</v>
      </c>
      <c r="P54" s="76">
        <f t="shared" si="34"/>
        <v>766</v>
      </c>
      <c r="Q54" s="96">
        <f t="shared" si="35"/>
        <v>43445</v>
      </c>
      <c r="U54" s="92">
        <f t="shared" si="22"/>
        <v>2000</v>
      </c>
      <c r="V54" s="92">
        <f t="shared" si="23"/>
        <v>0.72</v>
      </c>
      <c r="W54" s="92">
        <f t="shared" si="24"/>
        <v>3440</v>
      </c>
      <c r="X54" s="92">
        <f t="shared" si="25"/>
        <v>1440</v>
      </c>
      <c r="Y54" s="92">
        <f t="shared" si="13"/>
        <v>1155421.0221153586</v>
      </c>
      <c r="Z54" s="92">
        <f t="shared" si="26"/>
        <v>917280</v>
      </c>
      <c r="AA54" s="92">
        <f t="shared" si="27"/>
        <v>-686000</v>
      </c>
      <c r="AB54" s="92">
        <f t="shared" si="16"/>
        <v>1386701.0221153586</v>
      </c>
      <c r="AC54" s="85">
        <f t="shared" si="28"/>
        <v>980</v>
      </c>
      <c r="AD54">
        <f t="shared" si="29"/>
        <v>637</v>
      </c>
      <c r="AE54">
        <f t="shared" si="30"/>
        <v>343</v>
      </c>
      <c r="AF54">
        <f>SUM($AC$8:AC54)</f>
        <v>8294</v>
      </c>
      <c r="AG54" s="97" t="str">
        <f t="shared" si="31"/>
        <v>18 w   0 d   2 h</v>
      </c>
    </row>
    <row r="55" spans="3:33" ht="16.2" thickBot="1" x14ac:dyDescent="0.35">
      <c r="C55" s="125"/>
      <c r="D55" s="61" t="s">
        <v>7</v>
      </c>
      <c r="E55" s="128"/>
      <c r="F55" s="27">
        <f>IFERROR(INDEX(DataTab,MATCH(C53,EtappenNo,0),22),"")</f>
        <v>30</v>
      </c>
      <c r="G55" s="15" t="str">
        <f xml:space="preserve"> " verloren (" &amp; (1-$K$3)*100 &amp; "%): "</f>
        <v xml:space="preserve"> verloren (35%): </v>
      </c>
      <c r="H55" s="19">
        <f>IFERROR(INDEX(DataTab,MATCH(C53,EtappenNo,0),18),"")</f>
        <v>-773.96705280000015</v>
      </c>
      <c r="I55" s="90"/>
      <c r="J55" s="83">
        <f t="shared" si="32"/>
        <v>48</v>
      </c>
      <c r="K55" s="58">
        <f t="shared" si="21"/>
        <v>2000</v>
      </c>
      <c r="L55" s="59">
        <v>0.72</v>
      </c>
      <c r="M55" s="102">
        <f t="shared" si="36"/>
        <v>1663421.0221153586</v>
      </c>
      <c r="N55" s="104">
        <f t="shared" si="37"/>
        <v>9468</v>
      </c>
      <c r="O55" s="104">
        <f t="shared" si="33"/>
        <v>526</v>
      </c>
      <c r="P55" s="76">
        <f t="shared" si="34"/>
        <v>876</v>
      </c>
      <c r="Q55" s="96">
        <f t="shared" si="35"/>
        <v>43599</v>
      </c>
      <c r="U55" s="92">
        <f t="shared" si="22"/>
        <v>2000</v>
      </c>
      <c r="V55" s="92">
        <f t="shared" si="23"/>
        <v>0.72</v>
      </c>
      <c r="W55" s="92">
        <f t="shared" si="24"/>
        <v>3440</v>
      </c>
      <c r="X55" s="92">
        <f t="shared" si="25"/>
        <v>1440</v>
      </c>
      <c r="Y55" s="92">
        <f t="shared" si="13"/>
        <v>1386701.0221153586</v>
      </c>
      <c r="Z55" s="92">
        <f t="shared" si="26"/>
        <v>1098720</v>
      </c>
      <c r="AA55" s="92">
        <f t="shared" si="27"/>
        <v>-822000</v>
      </c>
      <c r="AB55" s="92">
        <f t="shared" si="16"/>
        <v>1663421.0221153586</v>
      </c>
      <c r="AC55" s="85">
        <f t="shared" si="28"/>
        <v>1174</v>
      </c>
      <c r="AD55">
        <f t="shared" si="29"/>
        <v>763</v>
      </c>
      <c r="AE55">
        <f t="shared" si="30"/>
        <v>411</v>
      </c>
      <c r="AF55">
        <f>SUM($AC$8:AC55)</f>
        <v>9468</v>
      </c>
      <c r="AG55" s="97" t="str">
        <f t="shared" si="31"/>
        <v>21 w   2 d   1 h</v>
      </c>
    </row>
    <row r="56" spans="3:33" ht="16.8" thickTop="1" thickBot="1" x14ac:dyDescent="0.35">
      <c r="C56" s="126"/>
      <c r="D56" s="60" t="s">
        <v>14</v>
      </c>
      <c r="E56" s="63" t="str">
        <f>IFERROR(INDEX(DataTab,MATCH(C53,EtappenNo,0),24),"")</f>
        <v>1 w   1 d   3 h</v>
      </c>
      <c r="F56" s="20"/>
      <c r="G56" s="21" t="str">
        <f>IFERROR("Budget nach " &amp; INDEX(DataTab,MATCH(C53,EtappenNo,0),23) &amp; " trades: ","")</f>
        <v xml:space="preserve">Budget nach 844 trades: </v>
      </c>
      <c r="H56" s="28">
        <f>IFERROR(INDEX(DataTab,MATCH(C53,EtappenNo,0),19),"")</f>
        <v>1572.8447982592002</v>
      </c>
      <c r="I56" s="89" t="str">
        <f>IFERROR("(+ " &amp; ROUND(((H56/H53)-1)*100,0) &amp; "%)","")</f>
        <v>(+ 20%)</v>
      </c>
      <c r="J56" s="83">
        <f t="shared" si="32"/>
        <v>49</v>
      </c>
      <c r="K56" s="58">
        <f t="shared" si="21"/>
        <v>2000</v>
      </c>
      <c r="L56" s="59">
        <v>0.72</v>
      </c>
      <c r="M56" s="102">
        <f t="shared" si="36"/>
        <v>1996461.0221153586</v>
      </c>
      <c r="N56" s="104">
        <f t="shared" si="37"/>
        <v>10877</v>
      </c>
      <c r="O56" s="104">
        <f t="shared" si="33"/>
        <v>605</v>
      </c>
      <c r="P56" s="76">
        <f t="shared" si="34"/>
        <v>1006</v>
      </c>
      <c r="Q56" s="96">
        <f t="shared" si="35"/>
        <v>43781</v>
      </c>
      <c r="U56" s="92">
        <f t="shared" si="22"/>
        <v>2000</v>
      </c>
      <c r="V56" s="92">
        <f t="shared" si="23"/>
        <v>0.72</v>
      </c>
      <c r="W56" s="92">
        <f t="shared" si="24"/>
        <v>3440</v>
      </c>
      <c r="X56" s="92">
        <f t="shared" si="25"/>
        <v>1440</v>
      </c>
      <c r="Y56" s="92">
        <f t="shared" si="13"/>
        <v>1663421.0221153586</v>
      </c>
      <c r="Z56" s="92">
        <f t="shared" si="26"/>
        <v>1319040</v>
      </c>
      <c r="AA56" s="92">
        <f t="shared" si="27"/>
        <v>-986000</v>
      </c>
      <c r="AB56" s="92">
        <f t="shared" si="16"/>
        <v>1996461.0221153586</v>
      </c>
      <c r="AC56" s="85">
        <f t="shared" si="28"/>
        <v>1409</v>
      </c>
      <c r="AD56">
        <f t="shared" si="29"/>
        <v>916</v>
      </c>
      <c r="AE56">
        <f t="shared" si="30"/>
        <v>493</v>
      </c>
      <c r="AF56">
        <f>SUM($AC$8:AC56)</f>
        <v>10877</v>
      </c>
      <c r="AG56" s="97" t="str">
        <f t="shared" si="31"/>
        <v>26 w   0 d   1 h</v>
      </c>
    </row>
    <row r="57" spans="3:33" ht="15" thickBot="1" x14ac:dyDescent="0.35">
      <c r="I57" s="90"/>
      <c r="J57" s="83">
        <f t="shared" si="32"/>
        <v>50</v>
      </c>
      <c r="K57" s="58">
        <f t="shared" si="21"/>
        <v>2000</v>
      </c>
      <c r="L57" s="59">
        <v>0.72</v>
      </c>
      <c r="M57" s="102">
        <f t="shared" si="36"/>
        <v>2395021.0221153586</v>
      </c>
      <c r="N57" s="104">
        <f t="shared" si="37"/>
        <v>12568</v>
      </c>
      <c r="O57" s="104">
        <f t="shared" si="33"/>
        <v>699</v>
      </c>
      <c r="P57" s="76">
        <f t="shared" si="34"/>
        <v>1162</v>
      </c>
      <c r="Q57" s="96">
        <f t="shared" si="35"/>
        <v>43999</v>
      </c>
      <c r="U57" s="92">
        <f t="shared" si="22"/>
        <v>2000</v>
      </c>
      <c r="V57" s="92">
        <f t="shared" si="23"/>
        <v>0.72</v>
      </c>
      <c r="W57" s="92">
        <f t="shared" si="24"/>
        <v>3440</v>
      </c>
      <c r="X57" s="92">
        <f t="shared" si="25"/>
        <v>1440</v>
      </c>
      <c r="Y57" s="92">
        <f t="shared" si="13"/>
        <v>1996461.0221153586</v>
      </c>
      <c r="Z57" s="92">
        <f t="shared" si="26"/>
        <v>1582560</v>
      </c>
      <c r="AA57" s="92">
        <f t="shared" si="27"/>
        <v>-1184000</v>
      </c>
      <c r="AB57" s="92">
        <f t="shared" si="16"/>
        <v>2395021.0221153586</v>
      </c>
      <c r="AC57" s="85">
        <f t="shared" si="28"/>
        <v>1691</v>
      </c>
      <c r="AD57">
        <f t="shared" si="29"/>
        <v>1099</v>
      </c>
      <c r="AE57">
        <f t="shared" si="30"/>
        <v>592</v>
      </c>
      <c r="AF57">
        <f>SUM($AC$8:AC57)</f>
        <v>12568</v>
      </c>
      <c r="AG57" s="97" t="str">
        <f t="shared" si="31"/>
        <v>31 w   0 d   3 h</v>
      </c>
    </row>
    <row r="58" spans="3:33" ht="15.6" customHeight="1" x14ac:dyDescent="0.3">
      <c r="C58" s="124">
        <f>C53+1</f>
        <v>11</v>
      </c>
      <c r="D58" s="23">
        <f>IFERROR(INDEX(DataTab,MATCH(C58,EtappenNo,0),12),"")</f>
        <v>30.958682112000005</v>
      </c>
      <c r="E58" s="24">
        <f>IFERROR(INDEX(DataTab,MATCH(C58,EtappenNo,0),3),"")</f>
        <v>0.72</v>
      </c>
      <c r="F58" s="22">
        <f>IFERROR(INDEX(DataTab,MATCH(C58,EtappenNo,0),14),"")</f>
        <v>53.248933232640013</v>
      </c>
      <c r="G58" s="25">
        <f>IFERROR(INDEX(DataTab,MATCH(C58,EtappenNo,0),15),"")</f>
        <v>22.290251120640004</v>
      </c>
      <c r="H58" s="87">
        <f>IFERROR(INDEX(DataTab,MATCH(C58,EtappenNo,0),16),"")</f>
        <v>1572.8447982592002</v>
      </c>
      <c r="I58" s="90"/>
      <c r="J58" s="83">
        <f t="shared" si="32"/>
        <v>51</v>
      </c>
      <c r="K58" s="58">
        <f t="shared" si="21"/>
        <v>2000</v>
      </c>
      <c r="L58" s="59">
        <v>0.72</v>
      </c>
      <c r="M58" s="102">
        <f t="shared" si="36"/>
        <v>2874381.0221153591</v>
      </c>
      <c r="N58" s="104">
        <f t="shared" si="37"/>
        <v>14597</v>
      </c>
      <c r="O58" s="104">
        <f t="shared" si="33"/>
        <v>811</v>
      </c>
      <c r="P58" s="76">
        <f t="shared" si="34"/>
        <v>1350</v>
      </c>
      <c r="Q58" s="96">
        <f t="shared" si="35"/>
        <v>44263</v>
      </c>
      <c r="U58" s="92">
        <f t="shared" si="22"/>
        <v>2000</v>
      </c>
      <c r="V58" s="92">
        <f t="shared" si="23"/>
        <v>0.72</v>
      </c>
      <c r="W58" s="92">
        <f t="shared" si="24"/>
        <v>3440</v>
      </c>
      <c r="X58" s="92">
        <f t="shared" si="25"/>
        <v>1440</v>
      </c>
      <c r="Y58" s="92">
        <f t="shared" si="13"/>
        <v>2395021.0221153586</v>
      </c>
      <c r="Z58" s="92">
        <f t="shared" si="26"/>
        <v>1899360</v>
      </c>
      <c r="AA58" s="92">
        <f t="shared" si="27"/>
        <v>-1420000</v>
      </c>
      <c r="AB58" s="92">
        <f t="shared" si="16"/>
        <v>2874381.0221153591</v>
      </c>
      <c r="AC58" s="85">
        <f t="shared" si="28"/>
        <v>2029</v>
      </c>
      <c r="AD58">
        <f t="shared" si="29"/>
        <v>1319</v>
      </c>
      <c r="AE58">
        <f t="shared" si="30"/>
        <v>710</v>
      </c>
      <c r="AF58">
        <f>SUM($AC$8:AC58)</f>
        <v>14597</v>
      </c>
      <c r="AG58" s="97" t="str">
        <f t="shared" si="31"/>
        <v>37 w   1 d   3 h</v>
      </c>
    </row>
    <row r="59" spans="3:33" ht="15.6" x14ac:dyDescent="0.3">
      <c r="C59" s="125"/>
      <c r="D59" s="62" t="s">
        <v>6</v>
      </c>
      <c r="E59" s="127">
        <f>IFERROR(INDEX(DataTab,MATCH(C58,EtappenNo,0),20),"")</f>
        <v>86</v>
      </c>
      <c r="F59" s="26">
        <f>IFERROR(INDEX(DataTab,MATCH(C58,EtappenNo,0),21),"")</f>
        <v>56</v>
      </c>
      <c r="G59" s="16" t="str">
        <f>"gewonnen (" &amp; $K$3*100 &amp; "%): "</f>
        <v xml:space="preserve">gewonnen (65%): </v>
      </c>
      <c r="H59" s="18">
        <f>IFERROR(INDEX(DataTab,MATCH(C58,EtappenNo,0),17),"")</f>
        <v>1248.2540627558403</v>
      </c>
      <c r="I59" s="90"/>
      <c r="J59" s="83">
        <f t="shared" si="32"/>
        <v>52</v>
      </c>
      <c r="K59" s="58">
        <f t="shared" si="21"/>
        <v>2000</v>
      </c>
      <c r="L59" s="59">
        <v>0.72</v>
      </c>
      <c r="M59" s="102">
        <f t="shared" si="36"/>
        <v>3449341.0221153591</v>
      </c>
      <c r="N59" s="104">
        <f t="shared" si="37"/>
        <v>17034</v>
      </c>
      <c r="O59" s="104">
        <f t="shared" si="33"/>
        <v>947</v>
      </c>
      <c r="P59" s="76">
        <f t="shared" si="34"/>
        <v>1576</v>
      </c>
      <c r="Q59" s="96">
        <f t="shared" si="35"/>
        <v>44579</v>
      </c>
      <c r="U59" s="92">
        <f t="shared" si="22"/>
        <v>2000</v>
      </c>
      <c r="V59" s="92">
        <f t="shared" si="23"/>
        <v>0.72</v>
      </c>
      <c r="W59" s="92">
        <f t="shared" si="24"/>
        <v>3440</v>
      </c>
      <c r="X59" s="92">
        <f t="shared" si="25"/>
        <v>1440</v>
      </c>
      <c r="Y59" s="92">
        <f t="shared" si="13"/>
        <v>2874381.0221153591</v>
      </c>
      <c r="Z59" s="92">
        <f t="shared" si="26"/>
        <v>2280960</v>
      </c>
      <c r="AA59" s="92">
        <f t="shared" si="27"/>
        <v>-1706000</v>
      </c>
      <c r="AB59" s="92">
        <f t="shared" si="16"/>
        <v>3449341.0221153591</v>
      </c>
      <c r="AC59" s="85">
        <f t="shared" si="28"/>
        <v>2437</v>
      </c>
      <c r="AD59">
        <f t="shared" si="29"/>
        <v>1584</v>
      </c>
      <c r="AE59">
        <f t="shared" si="30"/>
        <v>853</v>
      </c>
      <c r="AF59">
        <f>SUM($AC$8:AC59)</f>
        <v>17034</v>
      </c>
      <c r="AG59" s="97" t="str">
        <f t="shared" si="31"/>
        <v>45 w   0 d   2 h</v>
      </c>
    </row>
    <row r="60" spans="3:33" ht="16.2" thickBot="1" x14ac:dyDescent="0.35">
      <c r="C60" s="125"/>
      <c r="D60" s="61" t="s">
        <v>7</v>
      </c>
      <c r="E60" s="128"/>
      <c r="F60" s="27">
        <f>IFERROR(INDEX(DataTab,MATCH(C58,EtappenNo,0),22),"")</f>
        <v>30</v>
      </c>
      <c r="G60" s="15" t="str">
        <f xml:space="preserve"> " verloren (" &amp; (1-$K$3)*100 &amp; "%): "</f>
        <v xml:space="preserve"> verloren (35%): </v>
      </c>
      <c r="H60" s="19">
        <f>IFERROR(INDEX(DataTab,MATCH(C58,EtappenNo,0),18),"")</f>
        <v>-928.76046336000013</v>
      </c>
      <c r="I60" s="90"/>
      <c r="J60" s="83">
        <f t="shared" si="32"/>
        <v>53</v>
      </c>
      <c r="K60" s="58">
        <f t="shared" si="21"/>
        <v>2000</v>
      </c>
      <c r="L60" s="59">
        <v>0.72</v>
      </c>
      <c r="M60" s="102">
        <f t="shared" si="36"/>
        <v>4139341.0221153591</v>
      </c>
      <c r="N60" s="104">
        <f t="shared" si="37"/>
        <v>19957</v>
      </c>
      <c r="O60" s="104">
        <f t="shared" si="33"/>
        <v>1109</v>
      </c>
      <c r="P60" s="76">
        <f t="shared" si="34"/>
        <v>1846</v>
      </c>
      <c r="Q60" s="96">
        <f t="shared" si="35"/>
        <v>44957</v>
      </c>
      <c r="U60" s="92">
        <f t="shared" si="22"/>
        <v>2000</v>
      </c>
      <c r="V60" s="92">
        <f t="shared" si="23"/>
        <v>0.72</v>
      </c>
      <c r="W60" s="92">
        <f t="shared" si="24"/>
        <v>3440</v>
      </c>
      <c r="X60" s="92">
        <f t="shared" si="25"/>
        <v>1440</v>
      </c>
      <c r="Y60" s="92">
        <f t="shared" si="13"/>
        <v>3449341.0221153591</v>
      </c>
      <c r="Z60" s="92">
        <f t="shared" si="26"/>
        <v>2736000</v>
      </c>
      <c r="AA60" s="92">
        <f t="shared" si="27"/>
        <v>-2046000</v>
      </c>
      <c r="AB60" s="92">
        <f t="shared" si="16"/>
        <v>4139341.0221153591</v>
      </c>
      <c r="AC60" s="85">
        <f t="shared" si="28"/>
        <v>2923</v>
      </c>
      <c r="AD60">
        <f t="shared" si="29"/>
        <v>1900</v>
      </c>
      <c r="AE60">
        <f t="shared" si="30"/>
        <v>1023</v>
      </c>
      <c r="AF60">
        <f>SUM($AC$8:AC60)</f>
        <v>19957</v>
      </c>
      <c r="AG60" s="97" t="str">
        <f t="shared" si="31"/>
        <v>54 w   0 d   2 h</v>
      </c>
    </row>
    <row r="61" spans="3:33" ht="16.8" thickTop="1" thickBot="1" x14ac:dyDescent="0.35">
      <c r="C61" s="126"/>
      <c r="D61" s="60" t="s">
        <v>14</v>
      </c>
      <c r="E61" s="63" t="str">
        <f>IFERROR(INDEX(DataTab,MATCH(C58,EtappenNo,0),24),"")</f>
        <v>1 w   1 d   3 h</v>
      </c>
      <c r="F61" s="20"/>
      <c r="G61" s="21" t="str">
        <f>IFERROR("Budget nach " &amp; INDEX(DataTab,MATCH(C58,EtappenNo,0),23) &amp; " trades: ","")</f>
        <v xml:space="preserve">Budget nach 930 trades: </v>
      </c>
      <c r="H61" s="28">
        <f>IFERROR(INDEX(DataTab,MATCH(C58,EtappenNo,0),19),"")</f>
        <v>1892.3383976550406</v>
      </c>
      <c r="I61" s="89" t="str">
        <f>IFERROR("(+ " &amp; ROUND(((H61/H58)-1)*100,0) &amp; "%)","")</f>
        <v>(+ 20%)</v>
      </c>
      <c r="J61" s="83">
        <f t="shared" si="32"/>
        <v>54</v>
      </c>
      <c r="K61" s="58">
        <f t="shared" si="21"/>
        <v>2000</v>
      </c>
      <c r="L61" s="59">
        <v>0.72</v>
      </c>
      <c r="M61" s="102">
        <f t="shared" si="36"/>
        <v>4967981.0221153591</v>
      </c>
      <c r="N61" s="104">
        <f t="shared" si="37"/>
        <v>23466</v>
      </c>
      <c r="O61" s="104">
        <f t="shared" si="33"/>
        <v>1304</v>
      </c>
      <c r="P61" s="76">
        <f t="shared" si="34"/>
        <v>2171</v>
      </c>
      <c r="Q61" s="96">
        <f t="shared" si="35"/>
        <v>45412</v>
      </c>
      <c r="U61" s="92">
        <f t="shared" si="22"/>
        <v>2000</v>
      </c>
      <c r="V61" s="92">
        <f t="shared" si="23"/>
        <v>0.72</v>
      </c>
      <c r="W61" s="92">
        <f t="shared" si="24"/>
        <v>3440</v>
      </c>
      <c r="X61" s="92">
        <f t="shared" si="25"/>
        <v>1440</v>
      </c>
      <c r="Y61" s="92">
        <f t="shared" si="13"/>
        <v>4139341.0221153591</v>
      </c>
      <c r="Z61" s="92">
        <f t="shared" si="26"/>
        <v>3284640</v>
      </c>
      <c r="AA61" s="92">
        <f t="shared" si="27"/>
        <v>-2456000</v>
      </c>
      <c r="AB61" s="92">
        <f t="shared" si="16"/>
        <v>4967981.0221153591</v>
      </c>
      <c r="AC61" s="85">
        <f t="shared" si="28"/>
        <v>3509</v>
      </c>
      <c r="AD61">
        <f t="shared" si="29"/>
        <v>2281</v>
      </c>
      <c r="AE61">
        <f t="shared" si="30"/>
        <v>1228</v>
      </c>
      <c r="AF61">
        <f>SUM($AC$8:AC61)</f>
        <v>23466</v>
      </c>
      <c r="AG61" s="97" t="str">
        <f t="shared" si="31"/>
        <v>64 w   2 d   3 h</v>
      </c>
    </row>
    <row r="62" spans="3:33" ht="15" thickBot="1" x14ac:dyDescent="0.35">
      <c r="I62" s="90"/>
      <c r="J62" s="83">
        <f t="shared" si="32"/>
        <v>55</v>
      </c>
      <c r="K62" s="58">
        <f t="shared" si="21"/>
        <v>2000</v>
      </c>
      <c r="L62" s="57">
        <v>0.72</v>
      </c>
      <c r="M62" s="102">
        <f t="shared" si="36"/>
        <v>5961261.0221153591</v>
      </c>
      <c r="N62" s="104">
        <f t="shared" si="37"/>
        <v>27677</v>
      </c>
      <c r="O62" s="104">
        <f t="shared" si="33"/>
        <v>1538</v>
      </c>
      <c r="P62" s="76">
        <f t="shared" si="34"/>
        <v>2561</v>
      </c>
      <c r="Q62" s="96">
        <f t="shared" si="35"/>
        <v>45958</v>
      </c>
      <c r="U62" s="92">
        <f t="shared" si="22"/>
        <v>2000</v>
      </c>
      <c r="V62" s="92">
        <f t="shared" si="23"/>
        <v>0.72</v>
      </c>
      <c r="W62" s="92">
        <f t="shared" si="24"/>
        <v>3440</v>
      </c>
      <c r="X62" s="92">
        <f t="shared" si="25"/>
        <v>1440</v>
      </c>
      <c r="Y62" s="92">
        <f t="shared" si="13"/>
        <v>4967981.0221153591</v>
      </c>
      <c r="Z62" s="92">
        <f t="shared" si="26"/>
        <v>3941280</v>
      </c>
      <c r="AA62" s="92">
        <f t="shared" si="27"/>
        <v>-2948000</v>
      </c>
      <c r="AB62" s="92">
        <f t="shared" si="16"/>
        <v>5961261.0221153591</v>
      </c>
      <c r="AC62" s="85">
        <f t="shared" si="28"/>
        <v>4211</v>
      </c>
      <c r="AD62">
        <f t="shared" si="29"/>
        <v>2737</v>
      </c>
      <c r="AE62">
        <f t="shared" si="30"/>
        <v>1474</v>
      </c>
      <c r="AF62">
        <f>SUM($AC$8:AC62)</f>
        <v>27677</v>
      </c>
      <c r="AG62" s="97" t="str">
        <f t="shared" si="31"/>
        <v>77 w   2 d   3 h</v>
      </c>
    </row>
    <row r="63" spans="3:33" ht="15.6" customHeight="1" x14ac:dyDescent="0.3">
      <c r="C63" s="124">
        <f>C58+1</f>
        <v>12</v>
      </c>
      <c r="D63" s="23">
        <f>IFERROR(INDEX(DataTab,MATCH(C63,EtappenNo,0),12),"")</f>
        <v>37.150418534400004</v>
      </c>
      <c r="E63" s="24">
        <f>IFERROR(INDEX(DataTab,MATCH(C63,EtappenNo,0),3),"")</f>
        <v>0.72</v>
      </c>
      <c r="F63" s="22">
        <f>IFERROR(INDEX(DataTab,MATCH(C63,EtappenNo,0),14),"")</f>
        <v>63.898719879168006</v>
      </c>
      <c r="G63" s="25">
        <f>IFERROR(INDEX(DataTab,MATCH(C63,EtappenNo,0),15),"")</f>
        <v>26.748301344768002</v>
      </c>
      <c r="H63" s="87">
        <f>IFERROR(INDEX(DataTab,MATCH(C63,EtappenNo,0),16),"")</f>
        <v>1892.3383976550406</v>
      </c>
      <c r="I63" s="90"/>
      <c r="J63" s="83">
        <f t="shared" si="32"/>
        <v>56</v>
      </c>
      <c r="K63" s="58">
        <f t="shared" si="21"/>
        <v>2000</v>
      </c>
      <c r="L63" s="59">
        <v>0.72</v>
      </c>
      <c r="M63" s="102">
        <f t="shared" si="36"/>
        <v>7152781.0221153591</v>
      </c>
      <c r="N63" s="104">
        <f t="shared" si="37"/>
        <v>32728</v>
      </c>
      <c r="O63" s="104">
        <f t="shared" si="33"/>
        <v>1819</v>
      </c>
      <c r="P63" s="76">
        <f t="shared" si="34"/>
        <v>3030</v>
      </c>
      <c r="Q63" s="96">
        <f t="shared" si="35"/>
        <v>46615</v>
      </c>
      <c r="U63" s="92">
        <f t="shared" si="22"/>
        <v>2000</v>
      </c>
      <c r="V63" s="92">
        <f t="shared" si="23"/>
        <v>0.72</v>
      </c>
      <c r="W63" s="92">
        <f t="shared" si="24"/>
        <v>3440</v>
      </c>
      <c r="X63" s="92">
        <f t="shared" si="25"/>
        <v>1440</v>
      </c>
      <c r="Y63" s="92">
        <f t="shared" si="13"/>
        <v>5961261.0221153591</v>
      </c>
      <c r="Z63" s="92">
        <f t="shared" si="26"/>
        <v>4727520</v>
      </c>
      <c r="AA63" s="92">
        <f t="shared" si="27"/>
        <v>-3536000</v>
      </c>
      <c r="AB63" s="92">
        <f t="shared" si="16"/>
        <v>7152781.0221153591</v>
      </c>
      <c r="AC63" s="85">
        <f t="shared" si="28"/>
        <v>5051</v>
      </c>
      <c r="AD63">
        <f t="shared" si="29"/>
        <v>3283</v>
      </c>
      <c r="AE63">
        <f t="shared" si="30"/>
        <v>1768</v>
      </c>
      <c r="AF63">
        <f>SUM($AC$8:AC63)</f>
        <v>32728</v>
      </c>
      <c r="AG63" s="97" t="str">
        <f t="shared" si="31"/>
        <v>93 w   1 d   2 h</v>
      </c>
    </row>
    <row r="64" spans="3:33" ht="15.6" x14ac:dyDescent="0.3">
      <c r="C64" s="125"/>
      <c r="D64" s="62" t="s">
        <v>6</v>
      </c>
      <c r="E64" s="127">
        <f>IFERROR(INDEX(DataTab,MATCH(C63,EtappenNo,0),20),"")</f>
        <v>86</v>
      </c>
      <c r="F64" s="26">
        <f>IFERROR(INDEX(DataTab,MATCH(C63,EtappenNo,0),21),"")</f>
        <v>56</v>
      </c>
      <c r="G64" s="16" t="str">
        <f>"gewonnen (" &amp; $K$3*100 &amp; "%): "</f>
        <v xml:space="preserve">gewonnen (65%): </v>
      </c>
      <c r="H64" s="18">
        <f>IFERROR(INDEX(DataTab,MATCH(C63,EtappenNo,0),17),"")</f>
        <v>1497.9048753070081</v>
      </c>
      <c r="I64" s="90"/>
      <c r="J64" s="83">
        <f t="shared" si="32"/>
        <v>57</v>
      </c>
      <c r="K64" s="58">
        <f t="shared" si="21"/>
        <v>2000</v>
      </c>
      <c r="L64" s="59">
        <v>0.72</v>
      </c>
      <c r="M64" s="102">
        <f t="shared" si="36"/>
        <v>8583821.0221153591</v>
      </c>
      <c r="N64" s="104">
        <f t="shared" si="37"/>
        <v>38791</v>
      </c>
      <c r="O64" s="104">
        <f t="shared" si="33"/>
        <v>2156</v>
      </c>
      <c r="P64" s="76">
        <f t="shared" si="34"/>
        <v>3591</v>
      </c>
      <c r="Q64" s="96">
        <f t="shared" si="35"/>
        <v>47400</v>
      </c>
      <c r="U64" s="92">
        <f t="shared" si="22"/>
        <v>2000</v>
      </c>
      <c r="V64" s="92">
        <f t="shared" si="23"/>
        <v>0.72</v>
      </c>
      <c r="W64" s="92">
        <f t="shared" si="24"/>
        <v>3440</v>
      </c>
      <c r="X64" s="92">
        <f t="shared" si="25"/>
        <v>1440</v>
      </c>
      <c r="Y64" s="92">
        <f t="shared" si="13"/>
        <v>7152781.0221153591</v>
      </c>
      <c r="Z64" s="92">
        <f t="shared" si="26"/>
        <v>5675040</v>
      </c>
      <c r="AA64" s="92">
        <f t="shared" si="27"/>
        <v>-4244000</v>
      </c>
      <c r="AB64" s="92">
        <f t="shared" si="16"/>
        <v>8583821.0221153591</v>
      </c>
      <c r="AC64" s="85">
        <f t="shared" si="28"/>
        <v>6063</v>
      </c>
      <c r="AD64">
        <f t="shared" si="29"/>
        <v>3941</v>
      </c>
      <c r="AE64">
        <f t="shared" si="30"/>
        <v>2122</v>
      </c>
      <c r="AF64">
        <f>SUM($AC$8:AC64)</f>
        <v>38791</v>
      </c>
      <c r="AG64" s="97" t="str">
        <f t="shared" si="31"/>
        <v>112 w   0 d   3 h</v>
      </c>
    </row>
    <row r="65" spans="3:33" ht="16.2" thickBot="1" x14ac:dyDescent="0.35">
      <c r="C65" s="125"/>
      <c r="D65" s="61" t="s">
        <v>7</v>
      </c>
      <c r="E65" s="128"/>
      <c r="F65" s="27">
        <f>IFERROR(INDEX(DataTab,MATCH(C63,EtappenNo,0),22),"")</f>
        <v>30</v>
      </c>
      <c r="G65" s="15" t="str">
        <f xml:space="preserve"> " verloren (" &amp; (1-$K$3)*100 &amp; "%): "</f>
        <v xml:space="preserve"> verloren (35%): </v>
      </c>
      <c r="H65" s="19">
        <f>IFERROR(INDEX(DataTab,MATCH(C63,EtappenNo,0),18),"")</f>
        <v>-1114.512556032</v>
      </c>
      <c r="I65" s="90"/>
      <c r="J65" s="83">
        <f t="shared" si="32"/>
        <v>58</v>
      </c>
      <c r="K65" s="58">
        <f t="shared" si="21"/>
        <v>2000</v>
      </c>
      <c r="L65" s="59">
        <v>0.72</v>
      </c>
      <c r="M65" s="102">
        <f t="shared" si="36"/>
        <v>10300141.022115359</v>
      </c>
      <c r="N65" s="104">
        <f t="shared" si="37"/>
        <v>46065</v>
      </c>
      <c r="O65" s="104">
        <f t="shared" si="33"/>
        <v>2560</v>
      </c>
      <c r="P65" s="76">
        <f t="shared" si="34"/>
        <v>4265</v>
      </c>
      <c r="Q65" s="96">
        <f t="shared" si="35"/>
        <v>48344</v>
      </c>
      <c r="U65" s="92">
        <f t="shared" si="22"/>
        <v>2000</v>
      </c>
      <c r="V65" s="92">
        <f t="shared" si="23"/>
        <v>0.72</v>
      </c>
      <c r="W65" s="92">
        <f t="shared" si="24"/>
        <v>3440</v>
      </c>
      <c r="X65" s="92">
        <f t="shared" si="25"/>
        <v>1440</v>
      </c>
      <c r="Y65" s="92">
        <f t="shared" si="13"/>
        <v>8583821.0221153591</v>
      </c>
      <c r="Z65" s="92">
        <f t="shared" si="26"/>
        <v>6808320</v>
      </c>
      <c r="AA65" s="92">
        <f t="shared" si="27"/>
        <v>-5092000</v>
      </c>
      <c r="AB65" s="92">
        <f t="shared" si="16"/>
        <v>10300141.022115359</v>
      </c>
      <c r="AC65" s="85">
        <f t="shared" si="28"/>
        <v>7274</v>
      </c>
      <c r="AD65">
        <f t="shared" si="29"/>
        <v>4728</v>
      </c>
      <c r="AE65">
        <f t="shared" si="30"/>
        <v>2546</v>
      </c>
      <c r="AF65">
        <f>SUM($AC$8:AC65)</f>
        <v>46065</v>
      </c>
      <c r="AG65" s="97" t="str">
        <f t="shared" si="31"/>
        <v>134 w   2 d   1 h</v>
      </c>
    </row>
    <row r="66" spans="3:33" ht="16.8" thickTop="1" thickBot="1" x14ac:dyDescent="0.35">
      <c r="C66" s="126"/>
      <c r="D66" s="60" t="s">
        <v>14</v>
      </c>
      <c r="E66" s="63" t="str">
        <f>IFERROR(INDEX(DataTab,MATCH(C63,EtappenNo,0),24),"")</f>
        <v>1 w   1 d   3 h</v>
      </c>
      <c r="F66" s="20"/>
      <c r="G66" s="21" t="str">
        <f>IFERROR("Budget nach " &amp; INDEX(DataTab,MATCH(C63,EtappenNo,0),23) &amp; " trades: ","")</f>
        <v xml:space="preserve">Budget nach 1016 trades: </v>
      </c>
      <c r="H66" s="28">
        <f>IFERROR(INDEX(DataTab,MATCH(C63,EtappenNo,0),19),"")</f>
        <v>2275.7307169300484</v>
      </c>
      <c r="I66" s="89" t="str">
        <f>IFERROR("(+ " &amp; ROUND(((H66/H63)-1)*100,0) &amp; "%)","")</f>
        <v>(+ 20%)</v>
      </c>
      <c r="J66" s="83">
        <f t="shared" si="32"/>
        <v>59</v>
      </c>
      <c r="K66" s="58">
        <f t="shared" si="21"/>
        <v>2000</v>
      </c>
      <c r="L66" s="59">
        <v>0.72</v>
      </c>
      <c r="M66" s="102">
        <f t="shared" si="36"/>
        <v>12360701.022115357</v>
      </c>
      <c r="N66" s="104">
        <f t="shared" si="37"/>
        <v>54794</v>
      </c>
      <c r="O66" s="104">
        <f t="shared" si="33"/>
        <v>3045</v>
      </c>
      <c r="P66" s="76">
        <f t="shared" si="34"/>
        <v>5072</v>
      </c>
      <c r="Q66" s="96">
        <f t="shared" si="35"/>
        <v>49473</v>
      </c>
      <c r="U66" s="92">
        <f t="shared" si="22"/>
        <v>2000</v>
      </c>
      <c r="V66" s="92">
        <f t="shared" si="23"/>
        <v>0.72</v>
      </c>
      <c r="W66" s="92">
        <f t="shared" si="24"/>
        <v>3440</v>
      </c>
      <c r="X66" s="92">
        <f t="shared" si="25"/>
        <v>1440</v>
      </c>
      <c r="Y66" s="92">
        <f t="shared" si="13"/>
        <v>10300141.022115359</v>
      </c>
      <c r="Z66" s="92">
        <f t="shared" si="26"/>
        <v>8170560</v>
      </c>
      <c r="AA66" s="92">
        <f t="shared" si="27"/>
        <v>-6110000</v>
      </c>
      <c r="AB66" s="92">
        <f t="shared" si="16"/>
        <v>12360701.022115357</v>
      </c>
      <c r="AC66" s="85">
        <f t="shared" si="28"/>
        <v>8729</v>
      </c>
      <c r="AD66">
        <f t="shared" si="29"/>
        <v>5674</v>
      </c>
      <c r="AE66">
        <f t="shared" si="30"/>
        <v>3055</v>
      </c>
      <c r="AF66">
        <f>SUM($AC$8:AC66)</f>
        <v>54794</v>
      </c>
      <c r="AG66" s="97" t="str">
        <f t="shared" si="31"/>
        <v>161 w   1 d   3 h</v>
      </c>
    </row>
    <row r="67" spans="3:33" ht="15" thickBot="1" x14ac:dyDescent="0.35">
      <c r="I67" s="90"/>
      <c r="J67" s="83">
        <f t="shared" si="32"/>
        <v>60</v>
      </c>
      <c r="K67" s="58">
        <f t="shared" si="21"/>
        <v>2000</v>
      </c>
      <c r="L67" s="59">
        <v>0.72</v>
      </c>
      <c r="M67" s="102">
        <f t="shared" si="36"/>
        <v>14832221.022115357</v>
      </c>
      <c r="N67" s="104">
        <f t="shared" si="37"/>
        <v>65268</v>
      </c>
      <c r="O67" s="104">
        <f t="shared" si="33"/>
        <v>3626</v>
      </c>
      <c r="P67" s="76">
        <f t="shared" si="34"/>
        <v>6042</v>
      </c>
      <c r="Q67" s="96">
        <f t="shared" si="35"/>
        <v>50831</v>
      </c>
      <c r="U67" s="92">
        <f t="shared" si="22"/>
        <v>2000</v>
      </c>
      <c r="V67" s="92">
        <f t="shared" si="23"/>
        <v>0.72</v>
      </c>
      <c r="W67" s="92">
        <f t="shared" si="24"/>
        <v>3440</v>
      </c>
      <c r="X67" s="92">
        <f t="shared" si="25"/>
        <v>1440</v>
      </c>
      <c r="Y67" s="92">
        <f t="shared" si="13"/>
        <v>12360701.022115357</v>
      </c>
      <c r="Z67" s="92">
        <f t="shared" si="26"/>
        <v>9803520</v>
      </c>
      <c r="AA67" s="92">
        <f t="shared" si="27"/>
        <v>-7332000</v>
      </c>
      <c r="AB67" s="92">
        <f t="shared" si="16"/>
        <v>14832221.022115357</v>
      </c>
      <c r="AC67" s="85">
        <f t="shared" si="28"/>
        <v>10474</v>
      </c>
      <c r="AD67">
        <f t="shared" si="29"/>
        <v>6808</v>
      </c>
      <c r="AE67">
        <f t="shared" si="30"/>
        <v>3666</v>
      </c>
      <c r="AF67">
        <f>SUM($AC$8:AC67)</f>
        <v>65268</v>
      </c>
      <c r="AG67" s="97" t="str">
        <f t="shared" si="31"/>
        <v>193 w   2 d   3 h</v>
      </c>
    </row>
    <row r="68" spans="3:33" ht="15.6" customHeight="1" x14ac:dyDescent="0.3">
      <c r="C68" s="124">
        <f>C63+1</f>
        <v>13</v>
      </c>
      <c r="D68" s="23">
        <f>IFERROR(INDEX(DataTab,MATCH(C68,EtappenNo,0),12),"")</f>
        <v>44.580502241280001</v>
      </c>
      <c r="E68" s="24">
        <f>IFERROR(INDEX(DataTab,MATCH(C68,EtappenNo,0),3),"")</f>
        <v>0.72</v>
      </c>
      <c r="F68" s="22">
        <f>IFERROR(INDEX(DataTab,MATCH(C68,EtappenNo,0),14),"")</f>
        <v>76.67846385500161</v>
      </c>
      <c r="G68" s="25">
        <f>IFERROR(INDEX(DataTab,MATCH(C68,EtappenNo,0),15),"")</f>
        <v>32.097961613721601</v>
      </c>
      <c r="H68" s="87">
        <f>IFERROR(INDEX(DataTab,MATCH(C68,EtappenNo,0),16),"")</f>
        <v>2275.7307169300484</v>
      </c>
      <c r="I68" s="90"/>
      <c r="J68" s="83">
        <f t="shared" si="32"/>
        <v>61</v>
      </c>
      <c r="K68" s="58">
        <f t="shared" si="21"/>
        <v>2000</v>
      </c>
      <c r="L68" s="59">
        <v>0.72</v>
      </c>
      <c r="M68" s="102">
        <f t="shared" si="36"/>
        <v>17799021.022115357</v>
      </c>
      <c r="N68" s="104">
        <f t="shared" si="37"/>
        <v>77837</v>
      </c>
      <c r="O68" s="104">
        <f t="shared" si="33"/>
        <v>4325</v>
      </c>
      <c r="P68" s="76">
        <f t="shared" si="34"/>
        <v>7206</v>
      </c>
      <c r="Q68" s="96">
        <f t="shared" si="35"/>
        <v>52461</v>
      </c>
      <c r="U68" s="92">
        <f t="shared" si="22"/>
        <v>2000</v>
      </c>
      <c r="V68" s="92">
        <f t="shared" si="23"/>
        <v>0.72</v>
      </c>
      <c r="W68" s="92">
        <f t="shared" si="24"/>
        <v>3440</v>
      </c>
      <c r="X68" s="92">
        <f t="shared" si="25"/>
        <v>1440</v>
      </c>
      <c r="Y68" s="92">
        <f t="shared" si="13"/>
        <v>14832221.022115357</v>
      </c>
      <c r="Z68" s="92">
        <f t="shared" si="26"/>
        <v>11764800</v>
      </c>
      <c r="AA68" s="92">
        <f t="shared" si="27"/>
        <v>-8798000</v>
      </c>
      <c r="AB68" s="92">
        <f t="shared" si="16"/>
        <v>17799021.022115357</v>
      </c>
      <c r="AC68" s="85">
        <f t="shared" si="28"/>
        <v>12569</v>
      </c>
      <c r="AD68">
        <f t="shared" si="29"/>
        <v>8170</v>
      </c>
      <c r="AE68">
        <f t="shared" si="30"/>
        <v>4399</v>
      </c>
      <c r="AF68">
        <f>SUM($AC$8:AC68)</f>
        <v>77837</v>
      </c>
      <c r="AG68" s="97" t="str">
        <f t="shared" si="31"/>
        <v>232 w   2 d   1 h</v>
      </c>
    </row>
    <row r="69" spans="3:33" ht="15.6" x14ac:dyDescent="0.3">
      <c r="C69" s="125"/>
      <c r="D69" s="62" t="s">
        <v>6</v>
      </c>
      <c r="E69" s="127">
        <f>IFERROR(INDEX(DataTab,MATCH(C68,EtappenNo,0),20),"")</f>
        <v>86</v>
      </c>
      <c r="F69" s="26">
        <f>IFERROR(INDEX(DataTab,MATCH(C68,EtappenNo,0),21),"")</f>
        <v>56</v>
      </c>
      <c r="G69" s="16" t="str">
        <f>"gewonnen (" &amp; $K$3*100 &amp; "%): "</f>
        <v xml:space="preserve">gewonnen (65%): </v>
      </c>
      <c r="H69" s="18">
        <f>IFERROR(INDEX(DataTab,MATCH(C68,EtappenNo,0),17),"")</f>
        <v>1797.4858503684097</v>
      </c>
      <c r="I69" s="90"/>
      <c r="J69" s="83">
        <f t="shared" si="32"/>
        <v>62</v>
      </c>
      <c r="K69" s="58">
        <f t="shared" si="21"/>
        <v>2000</v>
      </c>
      <c r="L69" s="59">
        <v>0.72</v>
      </c>
      <c r="M69" s="102">
        <f t="shared" si="36"/>
        <v>21358781.022115357</v>
      </c>
      <c r="N69" s="104">
        <f t="shared" si="37"/>
        <v>92920</v>
      </c>
      <c r="O69" s="104">
        <f t="shared" si="33"/>
        <v>5163</v>
      </c>
      <c r="P69" s="76">
        <f t="shared" si="34"/>
        <v>8602</v>
      </c>
      <c r="Q69" s="96">
        <f t="shared" si="35"/>
        <v>54415</v>
      </c>
      <c r="U69" s="92">
        <f t="shared" si="22"/>
        <v>2000</v>
      </c>
      <c r="V69" s="92">
        <f t="shared" si="23"/>
        <v>0.72</v>
      </c>
      <c r="W69" s="92">
        <f t="shared" si="24"/>
        <v>3440</v>
      </c>
      <c r="X69" s="92">
        <f t="shared" si="25"/>
        <v>1440</v>
      </c>
      <c r="Y69" s="92">
        <f t="shared" si="13"/>
        <v>17799021.022115357</v>
      </c>
      <c r="Z69" s="92">
        <f t="shared" si="26"/>
        <v>14117760</v>
      </c>
      <c r="AA69" s="92">
        <f t="shared" si="27"/>
        <v>-10558000</v>
      </c>
      <c r="AB69" s="92">
        <f t="shared" si="16"/>
        <v>21358781.022115357</v>
      </c>
      <c r="AC69" s="85">
        <f t="shared" si="28"/>
        <v>15083</v>
      </c>
      <c r="AD69">
        <f t="shared" si="29"/>
        <v>9804</v>
      </c>
      <c r="AE69">
        <f t="shared" si="30"/>
        <v>5279</v>
      </c>
      <c r="AF69">
        <f>SUM($AC$8:AC69)</f>
        <v>92920</v>
      </c>
      <c r="AG69" s="97" t="str">
        <f t="shared" si="31"/>
        <v>279 w   0 d   3 h</v>
      </c>
    </row>
    <row r="70" spans="3:33" ht="16.2" thickBot="1" x14ac:dyDescent="0.35">
      <c r="C70" s="125"/>
      <c r="D70" s="61" t="s">
        <v>7</v>
      </c>
      <c r="E70" s="128"/>
      <c r="F70" s="27">
        <f>IFERROR(INDEX(DataTab,MATCH(C68,EtappenNo,0),22),"")</f>
        <v>30</v>
      </c>
      <c r="G70" s="15" t="str">
        <f xml:space="preserve"> " verloren (" &amp; (1-$K$3)*100 &amp; "%): "</f>
        <v xml:space="preserve"> verloren (35%): </v>
      </c>
      <c r="H70" s="19">
        <f>IFERROR(INDEX(DataTab,MATCH(C68,EtappenNo,0),18),"")</f>
        <v>-1337.4150672384001</v>
      </c>
      <c r="I70" s="90"/>
      <c r="J70" s="83">
        <f t="shared" si="32"/>
        <v>63</v>
      </c>
      <c r="K70" s="58">
        <f t="shared" si="21"/>
        <v>2000</v>
      </c>
      <c r="L70" s="59">
        <v>0.72</v>
      </c>
      <c r="M70" s="102">
        <f t="shared" si="36"/>
        <v>25630381.022115357</v>
      </c>
      <c r="N70" s="104">
        <f t="shared" si="37"/>
        <v>111020</v>
      </c>
      <c r="O70" s="104">
        <f t="shared" si="33"/>
        <v>6168</v>
      </c>
      <c r="P70" s="76">
        <f t="shared" si="34"/>
        <v>10277</v>
      </c>
      <c r="Q70" s="96">
        <f t="shared" si="35"/>
        <v>56760</v>
      </c>
      <c r="U70" s="92">
        <f t="shared" si="22"/>
        <v>2000</v>
      </c>
      <c r="V70" s="92">
        <f t="shared" si="23"/>
        <v>0.72</v>
      </c>
      <c r="W70" s="92">
        <f t="shared" si="24"/>
        <v>3440</v>
      </c>
      <c r="X70" s="92">
        <f t="shared" si="25"/>
        <v>1440</v>
      </c>
      <c r="Y70" s="92">
        <f t="shared" si="13"/>
        <v>21358781.022115357</v>
      </c>
      <c r="Z70" s="92">
        <f t="shared" si="26"/>
        <v>16941600</v>
      </c>
      <c r="AA70" s="92">
        <f t="shared" si="27"/>
        <v>-12670000</v>
      </c>
      <c r="AB70" s="92">
        <f t="shared" si="16"/>
        <v>25630381.022115357</v>
      </c>
      <c r="AC70" s="85">
        <f t="shared" si="28"/>
        <v>18100</v>
      </c>
      <c r="AD70">
        <f t="shared" si="29"/>
        <v>11765</v>
      </c>
      <c r="AE70">
        <f t="shared" si="30"/>
        <v>6335</v>
      </c>
      <c r="AF70">
        <f>SUM($AC$8:AC70)</f>
        <v>111020</v>
      </c>
      <c r="AG70" s="97" t="str">
        <f t="shared" si="31"/>
        <v>335 w   0 d   2 h</v>
      </c>
    </row>
    <row r="71" spans="3:33" ht="16.8" thickTop="1" thickBot="1" x14ac:dyDescent="0.35">
      <c r="C71" s="126"/>
      <c r="D71" s="60" t="s">
        <v>14</v>
      </c>
      <c r="E71" s="63" t="str">
        <f>IFERROR(INDEX(DataTab,MATCH(C68,EtappenNo,0),24),"")</f>
        <v>1 w   1 d   3 h</v>
      </c>
      <c r="F71" s="20"/>
      <c r="G71" s="21" t="str">
        <f>IFERROR("Budget nach " &amp; INDEX(DataTab,MATCH(C68,EtappenNo,0),23) &amp; " trades: ","")</f>
        <v xml:space="preserve">Budget nach 1102 trades: </v>
      </c>
      <c r="H71" s="28">
        <f>IFERROR(INDEX(DataTab,MATCH(C68,EtappenNo,0),19),"")</f>
        <v>2735.8015000600581</v>
      </c>
      <c r="I71" s="89" t="str">
        <f>IFERROR("(+ " &amp; ROUND(((H71/H68)-1)*100,0) &amp; "%)","")</f>
        <v>(+ 20%)</v>
      </c>
      <c r="J71" s="83">
        <f t="shared" si="32"/>
        <v>64</v>
      </c>
      <c r="K71" s="58">
        <f t="shared" si="21"/>
        <v>2000</v>
      </c>
      <c r="L71" s="59">
        <v>0.72</v>
      </c>
      <c r="M71" s="102">
        <f t="shared" si="36"/>
        <v>30756301.022115357</v>
      </c>
      <c r="N71" s="104">
        <f t="shared" si="37"/>
        <v>132740</v>
      </c>
      <c r="O71" s="104">
        <f t="shared" si="33"/>
        <v>7375</v>
      </c>
      <c r="P71" s="76">
        <f t="shared" si="34"/>
        <v>12290</v>
      </c>
      <c r="Q71" s="96">
        <f t="shared" si="35"/>
        <v>59579</v>
      </c>
      <c r="U71" s="92">
        <f t="shared" si="22"/>
        <v>2000</v>
      </c>
      <c r="V71" s="92">
        <f t="shared" si="23"/>
        <v>0.72</v>
      </c>
      <c r="W71" s="92">
        <f t="shared" si="24"/>
        <v>3440</v>
      </c>
      <c r="X71" s="92">
        <f t="shared" si="25"/>
        <v>1440</v>
      </c>
      <c r="Y71" s="92">
        <f t="shared" si="13"/>
        <v>25630381.022115357</v>
      </c>
      <c r="Z71" s="92">
        <f t="shared" si="26"/>
        <v>20329920</v>
      </c>
      <c r="AA71" s="92">
        <f t="shared" si="27"/>
        <v>-15204000</v>
      </c>
      <c r="AB71" s="92">
        <f t="shared" si="16"/>
        <v>30756301.022115357</v>
      </c>
      <c r="AC71" s="85">
        <f t="shared" si="28"/>
        <v>21720</v>
      </c>
      <c r="AD71">
        <f t="shared" si="29"/>
        <v>14118</v>
      </c>
      <c r="AE71">
        <f t="shared" si="30"/>
        <v>7602</v>
      </c>
      <c r="AF71">
        <f>SUM($AC$8:AC71)</f>
        <v>132740</v>
      </c>
      <c r="AG71" s="97" t="str">
        <f t="shared" si="31"/>
        <v>402 w   0 d   2 h</v>
      </c>
    </row>
    <row r="72" spans="3:33" ht="15" thickBot="1" x14ac:dyDescent="0.35">
      <c r="I72" s="90"/>
      <c r="J72" s="83">
        <f t="shared" ref="J72:J107" si="38">IF(Y72=0,"",ROW(J72)-ROW($J$7))</f>
        <v>65</v>
      </c>
      <c r="K72" s="58">
        <f t="shared" si="21"/>
        <v>2000</v>
      </c>
      <c r="L72" s="59">
        <v>0.72</v>
      </c>
      <c r="M72" s="102">
        <f t="shared" si="36"/>
        <v>36908221.022115357</v>
      </c>
      <c r="N72" s="104">
        <f t="shared" si="37"/>
        <v>158806</v>
      </c>
      <c r="O72" s="104">
        <f t="shared" ref="O72:O103" si="39">IF(Y72=0,"",ROUNDUP(N72/($Q$2*$Q$3),0))</f>
        <v>8823</v>
      </c>
      <c r="P72" s="76">
        <f t="shared" ref="P72:P107" si="40">IF(Y72=0,"",(INT(N72/($S$3*$Q$3*$Q$2))*5)+INT((N72-(INT(N72/($S$3*$Q$3*$Q$2))*$S$3*$Q$3*$Q$2))/($Q$3*$Q$2)))</f>
        <v>14702</v>
      </c>
      <c r="Q72" s="96">
        <f t="shared" ref="Q72:Q103" si="41">IFERROR(P72+INT((P72+MOD($Q$7-2-(MOD($Q$7,7)&lt;2)*(MOD($Q$7,7)+1),7))/5)*2+$Q$7-(MOD($Q$7,7)&lt;2)*(MOD($Q$7,7))-(MOD($Q$7,7)&lt;2),"")</f>
        <v>62955</v>
      </c>
      <c r="U72" s="92">
        <f t="shared" si="22"/>
        <v>2000</v>
      </c>
      <c r="V72" s="92">
        <f t="shared" si="23"/>
        <v>0.72</v>
      </c>
      <c r="W72" s="92">
        <f t="shared" si="24"/>
        <v>3440</v>
      </c>
      <c r="X72" s="92">
        <f t="shared" si="25"/>
        <v>1440</v>
      </c>
      <c r="Y72" s="92">
        <f t="shared" si="13"/>
        <v>30756301.022115357</v>
      </c>
      <c r="Z72" s="92">
        <f t="shared" si="26"/>
        <v>24397920</v>
      </c>
      <c r="AA72" s="92">
        <f t="shared" si="27"/>
        <v>-18246000</v>
      </c>
      <c r="AB72" s="92">
        <f t="shared" si="16"/>
        <v>36908221.022115357</v>
      </c>
      <c r="AC72" s="85">
        <f t="shared" si="28"/>
        <v>26066</v>
      </c>
      <c r="AD72">
        <f t="shared" si="29"/>
        <v>16943</v>
      </c>
      <c r="AE72">
        <f t="shared" si="30"/>
        <v>9123</v>
      </c>
      <c r="AF72">
        <f>SUM($AC$8:AC72)</f>
        <v>158806</v>
      </c>
      <c r="AG72" s="97" t="str">
        <f t="shared" si="31"/>
        <v>482 w   2 d   1 h</v>
      </c>
    </row>
    <row r="73" spans="3:33" ht="15.6" customHeight="1" x14ac:dyDescent="0.3">
      <c r="C73" s="124">
        <f>C68+1</f>
        <v>14</v>
      </c>
      <c r="D73" s="23">
        <f>IFERROR(INDEX(DataTab,MATCH(C73,EtappenNo,0),12),"")</f>
        <v>53.496602689536005</v>
      </c>
      <c r="E73" s="24">
        <f>IFERROR(INDEX(DataTab,MATCH(C73,EtappenNo,0),3),"")</f>
        <v>0.72</v>
      </c>
      <c r="F73" s="22">
        <f>IFERROR(INDEX(DataTab,MATCH(C73,EtappenNo,0),14),"")</f>
        <v>92.01415662600192</v>
      </c>
      <c r="G73" s="25">
        <f>IFERROR(INDEX(DataTab,MATCH(C73,EtappenNo,0),15),"")</f>
        <v>38.517553936465923</v>
      </c>
      <c r="H73" s="87">
        <f>IFERROR(INDEX(DataTab,MATCH(C73,EtappenNo,0),16),"")</f>
        <v>2735.8015000600581</v>
      </c>
      <c r="I73" s="90"/>
      <c r="J73" s="83">
        <f t="shared" si="38"/>
        <v>66</v>
      </c>
      <c r="K73" s="58">
        <f t="shared" si="21"/>
        <v>2000</v>
      </c>
      <c r="L73" s="59">
        <v>0.72</v>
      </c>
      <c r="M73" s="102">
        <f t="shared" si="36"/>
        <v>44289421.022115357</v>
      </c>
      <c r="N73" s="104">
        <f t="shared" si="37"/>
        <v>190083</v>
      </c>
      <c r="O73" s="104">
        <f t="shared" si="39"/>
        <v>10561</v>
      </c>
      <c r="P73" s="76">
        <f t="shared" si="40"/>
        <v>17600</v>
      </c>
      <c r="Q73" s="96">
        <f t="shared" si="41"/>
        <v>67013</v>
      </c>
      <c r="U73" s="92">
        <f t="shared" si="22"/>
        <v>2000</v>
      </c>
      <c r="V73" s="92">
        <f t="shared" si="23"/>
        <v>0.72</v>
      </c>
      <c r="W73" s="92">
        <f t="shared" si="24"/>
        <v>3440</v>
      </c>
      <c r="X73" s="92">
        <f t="shared" si="25"/>
        <v>1440</v>
      </c>
      <c r="Y73" s="92">
        <f t="shared" si="13"/>
        <v>36908221.022115357</v>
      </c>
      <c r="Z73" s="92">
        <f t="shared" si="26"/>
        <v>29275200</v>
      </c>
      <c r="AA73" s="92">
        <f t="shared" si="27"/>
        <v>-21894000</v>
      </c>
      <c r="AB73" s="92">
        <f t="shared" si="16"/>
        <v>44289421.022115357</v>
      </c>
      <c r="AC73" s="85">
        <f t="shared" si="28"/>
        <v>31277</v>
      </c>
      <c r="AD73">
        <f t="shared" si="29"/>
        <v>20330</v>
      </c>
      <c r="AE73">
        <f t="shared" si="30"/>
        <v>10947</v>
      </c>
      <c r="AF73">
        <f>SUM($AC$8:AC73)</f>
        <v>190083</v>
      </c>
      <c r="AG73" s="97" t="str">
        <f t="shared" si="31"/>
        <v>579 w   0 d   2 h</v>
      </c>
    </row>
    <row r="74" spans="3:33" ht="15.6" x14ac:dyDescent="0.3">
      <c r="C74" s="125"/>
      <c r="D74" s="62" t="s">
        <v>6</v>
      </c>
      <c r="E74" s="127">
        <f>IFERROR(INDEX(DataTab,MATCH(C73,EtappenNo,0),20),"")</f>
        <v>86</v>
      </c>
      <c r="F74" s="26">
        <f>IFERROR(INDEX(DataTab,MATCH(C73,EtappenNo,0),21),"")</f>
        <v>56</v>
      </c>
      <c r="G74" s="16" t="str">
        <f>"gewonnen (" &amp; $K$3*100 &amp; "%): "</f>
        <v xml:space="preserve">gewonnen (65%): </v>
      </c>
      <c r="H74" s="18">
        <f>IFERROR(INDEX(DataTab,MATCH(C73,EtappenNo,0),17),"")</f>
        <v>2156.9830204420919</v>
      </c>
      <c r="I74" s="90"/>
      <c r="J74" s="83">
        <f t="shared" si="38"/>
        <v>67</v>
      </c>
      <c r="K74" s="58">
        <f t="shared" si="21"/>
        <v>2000</v>
      </c>
      <c r="L74" s="59">
        <v>0.72</v>
      </c>
      <c r="M74" s="102">
        <f t="shared" si="36"/>
        <v>53147101.02211535</v>
      </c>
      <c r="N74" s="104">
        <f t="shared" si="37"/>
        <v>227617</v>
      </c>
      <c r="O74" s="104">
        <f t="shared" si="39"/>
        <v>12646</v>
      </c>
      <c r="P74" s="76">
        <f t="shared" si="40"/>
        <v>21075</v>
      </c>
      <c r="Q74" s="96">
        <f t="shared" si="41"/>
        <v>71878</v>
      </c>
      <c r="U74" s="92">
        <f t="shared" si="22"/>
        <v>2000</v>
      </c>
      <c r="V74" s="92">
        <f t="shared" si="23"/>
        <v>0.72</v>
      </c>
      <c r="W74" s="92">
        <f t="shared" si="24"/>
        <v>3440</v>
      </c>
      <c r="X74" s="92">
        <f t="shared" si="25"/>
        <v>1440</v>
      </c>
      <c r="Y74" s="92">
        <f t="shared" ref="Y74:Y107" si="42">IF(AB73&lt;99999999,AB73,0)</f>
        <v>44289421.022115357</v>
      </c>
      <c r="Z74" s="92">
        <f t="shared" si="26"/>
        <v>35131680</v>
      </c>
      <c r="AA74" s="92">
        <f t="shared" si="27"/>
        <v>-26274000</v>
      </c>
      <c r="AB74" s="92">
        <f t="shared" ref="AB74:AB107" si="43">IF(AC74&lt;&gt;"Nicht profitabel!",SUM(Y74:AA74),"")</f>
        <v>53147101.02211535</v>
      </c>
      <c r="AC74" s="85">
        <f t="shared" si="28"/>
        <v>37534</v>
      </c>
      <c r="AD74">
        <f t="shared" si="29"/>
        <v>24397</v>
      </c>
      <c r="AE74">
        <f t="shared" si="30"/>
        <v>13137</v>
      </c>
      <c r="AF74">
        <f>SUM($AC$8:AC74)</f>
        <v>227617</v>
      </c>
      <c r="AG74" s="97" t="str">
        <f t="shared" si="31"/>
        <v>695 w   0 d   1 h</v>
      </c>
    </row>
    <row r="75" spans="3:33" ht="16.2" thickBot="1" x14ac:dyDescent="0.35">
      <c r="C75" s="125"/>
      <c r="D75" s="61" t="s">
        <v>7</v>
      </c>
      <c r="E75" s="128"/>
      <c r="F75" s="27">
        <f>IFERROR(INDEX(DataTab,MATCH(C73,EtappenNo,0),22),"")</f>
        <v>30</v>
      </c>
      <c r="G75" s="15" t="str">
        <f xml:space="preserve"> " verloren (" &amp; (1-$K$3)*100 &amp; "%): "</f>
        <v xml:space="preserve"> verloren (35%): </v>
      </c>
      <c r="H75" s="19">
        <f>IFERROR(INDEX(DataTab,MATCH(C73,EtappenNo,0),18),"")</f>
        <v>-1604.8980806860802</v>
      </c>
      <c r="I75" s="90"/>
      <c r="J75" s="83">
        <f t="shared" si="38"/>
        <v>68</v>
      </c>
      <c r="K75" s="58">
        <f t="shared" si="21"/>
        <v>2000</v>
      </c>
      <c r="L75" s="59">
        <v>0.72</v>
      </c>
      <c r="M75" s="102">
        <f t="shared" si="36"/>
        <v>63776541.02211535</v>
      </c>
      <c r="N75" s="104">
        <f t="shared" si="37"/>
        <v>272657</v>
      </c>
      <c r="O75" s="104">
        <f t="shared" si="39"/>
        <v>15148</v>
      </c>
      <c r="P75" s="76">
        <f t="shared" si="40"/>
        <v>25245</v>
      </c>
      <c r="Q75" s="96">
        <f t="shared" si="41"/>
        <v>77716</v>
      </c>
      <c r="U75" s="92">
        <f t="shared" si="22"/>
        <v>2000</v>
      </c>
      <c r="V75" s="92">
        <f t="shared" si="23"/>
        <v>0.72</v>
      </c>
      <c r="W75" s="92">
        <f t="shared" si="24"/>
        <v>3440</v>
      </c>
      <c r="X75" s="92">
        <f t="shared" si="25"/>
        <v>1440</v>
      </c>
      <c r="Y75" s="92">
        <f t="shared" si="42"/>
        <v>53147101.02211535</v>
      </c>
      <c r="Z75" s="92">
        <f t="shared" si="26"/>
        <v>42157440</v>
      </c>
      <c r="AA75" s="92">
        <f t="shared" si="27"/>
        <v>-31528000</v>
      </c>
      <c r="AB75" s="92">
        <f t="shared" si="43"/>
        <v>63776541.02211535</v>
      </c>
      <c r="AC75" s="85">
        <f t="shared" si="28"/>
        <v>45040</v>
      </c>
      <c r="AD75">
        <f t="shared" si="29"/>
        <v>29276</v>
      </c>
      <c r="AE75">
        <f t="shared" si="30"/>
        <v>15764</v>
      </c>
      <c r="AF75">
        <f>SUM($AC$8:AC75)</f>
        <v>272657</v>
      </c>
      <c r="AG75" s="97" t="str">
        <f t="shared" si="31"/>
        <v>834 w   0 d   1 h</v>
      </c>
    </row>
    <row r="76" spans="3:33" ht="16.8" thickTop="1" thickBot="1" x14ac:dyDescent="0.35">
      <c r="C76" s="126"/>
      <c r="D76" s="60" t="s">
        <v>14</v>
      </c>
      <c r="E76" s="63" t="str">
        <f>IFERROR(INDEX(DataTab,MATCH(C73,EtappenNo,0),24),"")</f>
        <v>1 w   1 d   3 h</v>
      </c>
      <c r="F76" s="20"/>
      <c r="G76" s="21" t="str">
        <f>IFERROR("Budget nach " &amp; INDEX(DataTab,MATCH(C73,EtappenNo,0),23) &amp; " trades: ","")</f>
        <v xml:space="preserve">Budget nach 1188 trades: </v>
      </c>
      <c r="H76" s="28">
        <f>IFERROR(INDEX(DataTab,MATCH(C73,EtappenNo,0),19),"")</f>
        <v>3287.8864398160695</v>
      </c>
      <c r="I76" s="89" t="str">
        <f>IFERROR("(+ " &amp; ROUND(((H76/H73)-1)*100,0) &amp; "%)","")</f>
        <v>(+ 20%)</v>
      </c>
      <c r="J76" s="83">
        <f t="shared" si="38"/>
        <v>69</v>
      </c>
      <c r="K76" s="58">
        <f t="shared" si="21"/>
        <v>2000</v>
      </c>
      <c r="L76" s="57">
        <v>0.72</v>
      </c>
      <c r="M76" s="102">
        <f t="shared" si="36"/>
        <v>76532621.02211535</v>
      </c>
      <c r="N76" s="104">
        <f t="shared" si="37"/>
        <v>326706</v>
      </c>
      <c r="O76" s="104">
        <f t="shared" si="39"/>
        <v>18151</v>
      </c>
      <c r="P76" s="76">
        <f t="shared" si="40"/>
        <v>30250</v>
      </c>
      <c r="Q76" s="96">
        <f t="shared" si="41"/>
        <v>84723</v>
      </c>
      <c r="U76" s="92">
        <f t="shared" si="22"/>
        <v>2000</v>
      </c>
      <c r="V76" s="92">
        <f t="shared" si="23"/>
        <v>0.72</v>
      </c>
      <c r="W76" s="92">
        <f t="shared" si="24"/>
        <v>3440</v>
      </c>
      <c r="X76" s="92">
        <f t="shared" si="25"/>
        <v>1440</v>
      </c>
      <c r="Y76" s="92">
        <f t="shared" si="42"/>
        <v>63776541.02211535</v>
      </c>
      <c r="Z76" s="92">
        <f t="shared" si="26"/>
        <v>50590080</v>
      </c>
      <c r="AA76" s="92">
        <f t="shared" si="27"/>
        <v>-37834000</v>
      </c>
      <c r="AB76" s="92">
        <f t="shared" si="43"/>
        <v>76532621.02211535</v>
      </c>
      <c r="AC76" s="85">
        <f t="shared" si="28"/>
        <v>54049</v>
      </c>
      <c r="AD76">
        <f t="shared" si="29"/>
        <v>35132</v>
      </c>
      <c r="AE76">
        <f t="shared" si="30"/>
        <v>18917</v>
      </c>
      <c r="AF76">
        <f>SUM($AC$8:AC76)</f>
        <v>326706</v>
      </c>
      <c r="AG76" s="97" t="str">
        <f t="shared" si="31"/>
        <v>1000 w   2 d   3 h</v>
      </c>
    </row>
    <row r="77" spans="3:33" ht="15" thickBot="1" x14ac:dyDescent="0.35">
      <c r="I77" s="90"/>
      <c r="J77" s="83">
        <f t="shared" si="38"/>
        <v>70</v>
      </c>
      <c r="K77" s="58">
        <f t="shared" si="21"/>
        <v>2000</v>
      </c>
      <c r="L77" s="57">
        <v>0.72</v>
      </c>
      <c r="M77" s="102">
        <f t="shared" si="36"/>
        <v>91838701.02211535</v>
      </c>
      <c r="N77" s="104">
        <f t="shared" si="37"/>
        <v>391563</v>
      </c>
      <c r="O77" s="104">
        <f t="shared" si="39"/>
        <v>21754</v>
      </c>
      <c r="P77" s="76">
        <f t="shared" si="40"/>
        <v>36255</v>
      </c>
      <c r="Q77" s="96">
        <f t="shared" si="41"/>
        <v>93130</v>
      </c>
      <c r="U77" s="92">
        <f t="shared" si="22"/>
        <v>2000</v>
      </c>
      <c r="V77" s="92">
        <f t="shared" si="23"/>
        <v>0.72</v>
      </c>
      <c r="W77" s="92">
        <f t="shared" si="24"/>
        <v>3440</v>
      </c>
      <c r="X77" s="92">
        <f t="shared" si="25"/>
        <v>1440</v>
      </c>
      <c r="Y77" s="92">
        <f t="shared" si="42"/>
        <v>76532621.02211535</v>
      </c>
      <c r="Z77" s="92">
        <f t="shared" si="26"/>
        <v>60706080</v>
      </c>
      <c r="AA77" s="92">
        <f t="shared" si="27"/>
        <v>-45400000</v>
      </c>
      <c r="AB77" s="92">
        <f t="shared" si="43"/>
        <v>91838701.02211535</v>
      </c>
      <c r="AC77" s="85">
        <f t="shared" si="28"/>
        <v>64857</v>
      </c>
      <c r="AD77">
        <f t="shared" si="29"/>
        <v>42157</v>
      </c>
      <c r="AE77">
        <f t="shared" si="30"/>
        <v>22700</v>
      </c>
      <c r="AF77">
        <f>SUM($AC$8:AC77)</f>
        <v>391563</v>
      </c>
      <c r="AG77" s="97" t="str">
        <f t="shared" si="31"/>
        <v>1201 w   0 d   1 h</v>
      </c>
    </row>
    <row r="78" spans="3:33" ht="15.6" customHeight="1" x14ac:dyDescent="0.3">
      <c r="C78" s="124">
        <f>C73+1</f>
        <v>15</v>
      </c>
      <c r="D78" s="23">
        <f>IFERROR(INDEX(DataTab,MATCH(C78,EtappenNo,0),12),"")</f>
        <v>64.195923227443203</v>
      </c>
      <c r="E78" s="24">
        <f>IFERROR(INDEX(DataTab,MATCH(C78,EtappenNo,0),3),"")</f>
        <v>0.72</v>
      </c>
      <c r="F78" s="22">
        <f>IFERROR(INDEX(DataTab,MATCH(C78,EtappenNo,0),14),"")</f>
        <v>110.41698795120232</v>
      </c>
      <c r="G78" s="25">
        <f>IFERROR(INDEX(DataTab,MATCH(C78,EtappenNo,0),15),"")</f>
        <v>46.221064723759106</v>
      </c>
      <c r="H78" s="87">
        <f>IFERROR(INDEX(DataTab,MATCH(C78,EtappenNo,0),16),"")</f>
        <v>3287.8864398160695</v>
      </c>
      <c r="I78" s="90"/>
      <c r="J78" s="83">
        <f t="shared" si="38"/>
        <v>71</v>
      </c>
      <c r="K78" s="58">
        <f t="shared" si="21"/>
        <v>2000</v>
      </c>
      <c r="L78" s="59">
        <v>0.72</v>
      </c>
      <c r="M78" s="102">
        <f t="shared" si="36"/>
        <v>110206861.02211535</v>
      </c>
      <c r="N78" s="104">
        <f t="shared" si="37"/>
        <v>469392</v>
      </c>
      <c r="O78" s="104">
        <f t="shared" si="39"/>
        <v>26078</v>
      </c>
      <c r="P78" s="76">
        <f t="shared" si="40"/>
        <v>43461</v>
      </c>
      <c r="Q78" s="96">
        <f t="shared" si="41"/>
        <v>103218</v>
      </c>
      <c r="U78" s="92">
        <f t="shared" si="22"/>
        <v>2000</v>
      </c>
      <c r="V78" s="92">
        <f t="shared" si="23"/>
        <v>0.72</v>
      </c>
      <c r="W78" s="92">
        <f t="shared" si="24"/>
        <v>3440</v>
      </c>
      <c r="X78" s="92">
        <f t="shared" si="25"/>
        <v>1440</v>
      </c>
      <c r="Y78" s="92">
        <f t="shared" si="42"/>
        <v>91838701.02211535</v>
      </c>
      <c r="Z78" s="92">
        <f t="shared" si="26"/>
        <v>72848160</v>
      </c>
      <c r="AA78" s="92">
        <f t="shared" si="27"/>
        <v>-54480000</v>
      </c>
      <c r="AB78" s="92">
        <f t="shared" si="43"/>
        <v>110206861.02211535</v>
      </c>
      <c r="AC78" s="85">
        <f t="shared" si="28"/>
        <v>77829</v>
      </c>
      <c r="AD78">
        <f t="shared" si="29"/>
        <v>50589</v>
      </c>
      <c r="AE78">
        <f t="shared" si="30"/>
        <v>27240</v>
      </c>
      <c r="AF78">
        <f>SUM($AC$8:AC78)</f>
        <v>469392</v>
      </c>
      <c r="AG78" s="97" t="str">
        <f t="shared" si="31"/>
        <v>1441 w   0 d   3 h</v>
      </c>
    </row>
    <row r="79" spans="3:33" ht="15.6" x14ac:dyDescent="0.3">
      <c r="C79" s="125"/>
      <c r="D79" s="62" t="s">
        <v>6</v>
      </c>
      <c r="E79" s="127">
        <f>IFERROR(INDEX(DataTab,MATCH(C78,EtappenNo,0),20),"")</f>
        <v>86</v>
      </c>
      <c r="F79" s="26">
        <f>IFERROR(INDEX(DataTab,MATCH(C78,EtappenNo,0),21),"")</f>
        <v>56</v>
      </c>
      <c r="G79" s="16" t="str">
        <f>"gewonnen (" &amp; $K$3*100 &amp; "%): "</f>
        <v xml:space="preserve">gewonnen (65%): </v>
      </c>
      <c r="H79" s="18">
        <f>IFERROR(INDEX(DataTab,MATCH(C78,EtappenNo,0),17),"")</f>
        <v>2588.3796245305098</v>
      </c>
      <c r="I79" s="90"/>
      <c r="J79" s="83" t="str">
        <f t="shared" si="38"/>
        <v/>
      </c>
      <c r="K79" s="58" t="str">
        <f t="shared" si="21"/>
        <v/>
      </c>
      <c r="L79" s="59">
        <v>0.72</v>
      </c>
      <c r="M79" s="102" t="str">
        <f t="shared" si="36"/>
        <v/>
      </c>
      <c r="N79" s="104" t="str">
        <f t="shared" si="37"/>
        <v/>
      </c>
      <c r="O79" s="104" t="str">
        <f t="shared" si="39"/>
        <v/>
      </c>
      <c r="P79" s="76" t="str">
        <f t="shared" si="40"/>
        <v/>
      </c>
      <c r="Q79" s="96" t="str">
        <f t="shared" si="41"/>
        <v/>
      </c>
      <c r="U79" s="92">
        <f t="shared" si="22"/>
        <v>2000</v>
      </c>
      <c r="V79" s="92">
        <f t="shared" si="23"/>
        <v>0.72</v>
      </c>
      <c r="W79" s="92">
        <f t="shared" si="24"/>
        <v>3440</v>
      </c>
      <c r="X79" s="92">
        <f t="shared" si="25"/>
        <v>1440</v>
      </c>
      <c r="Y79" s="92">
        <f t="shared" si="42"/>
        <v>0</v>
      </c>
      <c r="Z79" s="92">
        <f t="shared" si="26"/>
        <v>0</v>
      </c>
      <c r="AA79" s="92">
        <f t="shared" si="27"/>
        <v>0</v>
      </c>
      <c r="AB79" s="92">
        <f t="shared" si="43"/>
        <v>0</v>
      </c>
      <c r="AC79" s="85">
        <f t="shared" si="28"/>
        <v>0</v>
      </c>
      <c r="AD79">
        <f t="shared" si="29"/>
        <v>0</v>
      </c>
      <c r="AE79">
        <f t="shared" si="30"/>
        <v>0</v>
      </c>
      <c r="AF79">
        <f>SUM($AC$8:AC79)</f>
        <v>469392</v>
      </c>
      <c r="AG79" s="97" t="str">
        <f t="shared" si="31"/>
        <v>0 w   0 d   0 h</v>
      </c>
    </row>
    <row r="80" spans="3:33" ht="16.2" thickBot="1" x14ac:dyDescent="0.35">
      <c r="C80" s="125"/>
      <c r="D80" s="61" t="s">
        <v>7</v>
      </c>
      <c r="E80" s="128"/>
      <c r="F80" s="27">
        <f>IFERROR(INDEX(DataTab,MATCH(C78,EtappenNo,0),22),"")</f>
        <v>30</v>
      </c>
      <c r="G80" s="15" t="str">
        <f xml:space="preserve"> " verloren (" &amp; (1-$K$3)*100 &amp; "%): "</f>
        <v xml:space="preserve"> verloren (35%): </v>
      </c>
      <c r="H80" s="19">
        <f>IFERROR(INDEX(DataTab,MATCH(C78,EtappenNo,0),18),"")</f>
        <v>-1925.877696823296</v>
      </c>
      <c r="I80" s="90"/>
      <c r="J80" s="83" t="str">
        <f t="shared" si="38"/>
        <v/>
      </c>
      <c r="K80" s="58" t="str">
        <f t="shared" si="21"/>
        <v/>
      </c>
      <c r="L80" s="59">
        <v>0.72</v>
      </c>
      <c r="M80" s="102" t="str">
        <f t="shared" si="36"/>
        <v/>
      </c>
      <c r="N80" s="104" t="str">
        <f t="shared" si="37"/>
        <v/>
      </c>
      <c r="O80" s="104" t="str">
        <f t="shared" si="39"/>
        <v/>
      </c>
      <c r="P80" s="76" t="str">
        <f t="shared" si="40"/>
        <v/>
      </c>
      <c r="Q80" s="96" t="str">
        <f t="shared" si="41"/>
        <v/>
      </c>
      <c r="U80" s="92">
        <f t="shared" si="22"/>
        <v>2000</v>
      </c>
      <c r="V80" s="92">
        <f t="shared" si="23"/>
        <v>0.72</v>
      </c>
      <c r="W80" s="92">
        <f t="shared" si="24"/>
        <v>3440</v>
      </c>
      <c r="X80" s="92">
        <f t="shared" si="25"/>
        <v>1440</v>
      </c>
      <c r="Y80" s="92">
        <f t="shared" si="42"/>
        <v>0</v>
      </c>
      <c r="Z80" s="92">
        <f t="shared" si="26"/>
        <v>0</v>
      </c>
      <c r="AA80" s="92">
        <f t="shared" si="27"/>
        <v>0</v>
      </c>
      <c r="AB80" s="92">
        <f t="shared" si="43"/>
        <v>0</v>
      </c>
      <c r="AC80" s="85">
        <f t="shared" si="28"/>
        <v>0</v>
      </c>
      <c r="AD80">
        <f t="shared" si="29"/>
        <v>0</v>
      </c>
      <c r="AE80">
        <f t="shared" si="30"/>
        <v>0</v>
      </c>
      <c r="AF80">
        <f>SUM($AC$8:AC80)</f>
        <v>469392</v>
      </c>
      <c r="AG80" s="97" t="str">
        <f t="shared" si="31"/>
        <v>0 w   0 d   0 h</v>
      </c>
    </row>
    <row r="81" spans="3:33" ht="16.8" thickTop="1" thickBot="1" x14ac:dyDescent="0.35">
      <c r="C81" s="126"/>
      <c r="D81" s="60" t="s">
        <v>14</v>
      </c>
      <c r="E81" s="63" t="str">
        <f>IFERROR(INDEX(DataTab,MATCH(C78,EtappenNo,0),24),"")</f>
        <v>1 w   1 d   3 h</v>
      </c>
      <c r="F81" s="20"/>
      <c r="G81" s="21" t="str">
        <f>IFERROR("Budget nach " &amp; INDEX(DataTab,MATCH(C78,EtappenNo,0),23) &amp; " trades: ","")</f>
        <v xml:space="preserve">Budget nach 1274 trades: </v>
      </c>
      <c r="H81" s="28">
        <f>IFERROR(INDEX(DataTab,MATCH(C78,EtappenNo,0),19),"")</f>
        <v>3950.3883675232828</v>
      </c>
      <c r="I81" s="89" t="str">
        <f>IFERROR("(+ " &amp; ROUND(((H81/H78)-1)*100,0) &amp; "%)","")</f>
        <v>(+ 20%)</v>
      </c>
      <c r="J81" s="83" t="str">
        <f t="shared" si="38"/>
        <v/>
      </c>
      <c r="K81" s="58" t="str">
        <f t="shared" si="21"/>
        <v/>
      </c>
      <c r="L81" s="59">
        <v>0.72</v>
      </c>
      <c r="M81" s="102" t="str">
        <f t="shared" si="36"/>
        <v/>
      </c>
      <c r="N81" s="104" t="str">
        <f t="shared" si="37"/>
        <v/>
      </c>
      <c r="O81" s="104" t="str">
        <f t="shared" si="39"/>
        <v/>
      </c>
      <c r="P81" s="76" t="str">
        <f t="shared" si="40"/>
        <v/>
      </c>
      <c r="Q81" s="96" t="str">
        <f t="shared" si="41"/>
        <v/>
      </c>
      <c r="U81" s="92">
        <f t="shared" si="22"/>
        <v>2000</v>
      </c>
      <c r="V81" s="92">
        <f t="shared" si="23"/>
        <v>0.72</v>
      </c>
      <c r="W81" s="92">
        <f t="shared" si="24"/>
        <v>3440</v>
      </c>
      <c r="X81" s="92">
        <f t="shared" si="25"/>
        <v>1440</v>
      </c>
      <c r="Y81" s="92">
        <f t="shared" si="42"/>
        <v>0</v>
      </c>
      <c r="Z81" s="92">
        <f t="shared" si="26"/>
        <v>0</v>
      </c>
      <c r="AA81" s="92">
        <f t="shared" si="27"/>
        <v>0</v>
      </c>
      <c r="AB81" s="92">
        <f t="shared" si="43"/>
        <v>0</v>
      </c>
      <c r="AC81" s="85">
        <f t="shared" si="28"/>
        <v>0</v>
      </c>
      <c r="AD81">
        <f t="shared" si="29"/>
        <v>0</v>
      </c>
      <c r="AE81">
        <f t="shared" si="30"/>
        <v>0</v>
      </c>
      <c r="AF81">
        <f>SUM($AC$8:AC81)</f>
        <v>469392</v>
      </c>
      <c r="AG81" s="97" t="str">
        <f t="shared" si="31"/>
        <v>0 w   0 d   0 h</v>
      </c>
    </row>
    <row r="82" spans="3:33" ht="15" thickBot="1" x14ac:dyDescent="0.35">
      <c r="I82" s="90"/>
      <c r="J82" s="83" t="str">
        <f t="shared" si="38"/>
        <v/>
      </c>
      <c r="K82" s="58" t="str">
        <f t="shared" si="21"/>
        <v/>
      </c>
      <c r="L82" s="59">
        <v>0.72</v>
      </c>
      <c r="M82" s="102" t="str">
        <f t="shared" si="36"/>
        <v/>
      </c>
      <c r="N82" s="104" t="str">
        <f t="shared" si="37"/>
        <v/>
      </c>
      <c r="O82" s="104" t="str">
        <f t="shared" si="39"/>
        <v/>
      </c>
      <c r="P82" s="76" t="str">
        <f t="shared" si="40"/>
        <v/>
      </c>
      <c r="Q82" s="96" t="str">
        <f t="shared" si="41"/>
        <v/>
      </c>
      <c r="U82" s="92">
        <f t="shared" si="22"/>
        <v>2000</v>
      </c>
      <c r="V82" s="92">
        <f t="shared" si="23"/>
        <v>0.72</v>
      </c>
      <c r="W82" s="92">
        <f t="shared" si="24"/>
        <v>3440</v>
      </c>
      <c r="X82" s="92">
        <f t="shared" si="25"/>
        <v>1440</v>
      </c>
      <c r="Y82" s="92">
        <f t="shared" si="42"/>
        <v>0</v>
      </c>
      <c r="Z82" s="92">
        <f t="shared" si="26"/>
        <v>0</v>
      </c>
      <c r="AA82" s="92">
        <f t="shared" si="27"/>
        <v>0</v>
      </c>
      <c r="AB82" s="92">
        <f t="shared" si="43"/>
        <v>0</v>
      </c>
      <c r="AC82" s="85">
        <f t="shared" si="28"/>
        <v>0</v>
      </c>
      <c r="AD82">
        <f t="shared" si="29"/>
        <v>0</v>
      </c>
      <c r="AE82">
        <f t="shared" si="30"/>
        <v>0</v>
      </c>
      <c r="AF82">
        <f>SUM($AC$8:AC82)</f>
        <v>469392</v>
      </c>
      <c r="AG82" s="97" t="str">
        <f t="shared" si="31"/>
        <v>0 w   0 d   0 h</v>
      </c>
    </row>
    <row r="83" spans="3:33" ht="15.6" customHeight="1" x14ac:dyDescent="0.3">
      <c r="C83" s="124">
        <f>C78+1</f>
        <v>16</v>
      </c>
      <c r="D83" s="23">
        <f>IFERROR(INDEX(DataTab,MATCH(C83,EtappenNo,0),12),"")</f>
        <v>77.035107872931846</v>
      </c>
      <c r="E83" s="24">
        <f>IFERROR(INDEX(DataTab,MATCH(C83,EtappenNo,0),3),"")</f>
        <v>0.72</v>
      </c>
      <c r="F83" s="22">
        <f>IFERROR(INDEX(DataTab,MATCH(C83,EtappenNo,0),14),"")</f>
        <v>132.50038554144277</v>
      </c>
      <c r="G83" s="25">
        <f>IFERROR(INDEX(DataTab,MATCH(C83,EtappenNo,0),15),"")</f>
        <v>55.465277668510929</v>
      </c>
      <c r="H83" s="87">
        <f>IFERROR(INDEX(DataTab,MATCH(C83,EtappenNo,0),16),"")</f>
        <v>3950.3883675232828</v>
      </c>
      <c r="I83" s="90"/>
      <c r="J83" s="83" t="str">
        <f t="shared" si="38"/>
        <v/>
      </c>
      <c r="K83" s="58" t="str">
        <f t="shared" si="21"/>
        <v/>
      </c>
      <c r="L83" s="59">
        <v>0.72</v>
      </c>
      <c r="M83" s="102" t="str">
        <f t="shared" si="36"/>
        <v/>
      </c>
      <c r="N83" s="104" t="str">
        <f t="shared" si="37"/>
        <v/>
      </c>
      <c r="O83" s="104" t="str">
        <f t="shared" si="39"/>
        <v/>
      </c>
      <c r="P83" s="76" t="str">
        <f t="shared" si="40"/>
        <v/>
      </c>
      <c r="Q83" s="96" t="str">
        <f t="shared" si="41"/>
        <v/>
      </c>
      <c r="U83" s="92">
        <f t="shared" si="22"/>
        <v>2000</v>
      </c>
      <c r="V83" s="92">
        <f t="shared" si="23"/>
        <v>0.72</v>
      </c>
      <c r="W83" s="92">
        <f t="shared" si="24"/>
        <v>3440</v>
      </c>
      <c r="X83" s="92">
        <f t="shared" si="25"/>
        <v>1440</v>
      </c>
      <c r="Y83" s="92">
        <f t="shared" si="42"/>
        <v>0</v>
      </c>
      <c r="Z83" s="92">
        <f t="shared" si="26"/>
        <v>0</v>
      </c>
      <c r="AA83" s="92">
        <f t="shared" si="27"/>
        <v>0</v>
      </c>
      <c r="AB83" s="92">
        <f t="shared" si="43"/>
        <v>0</v>
      </c>
      <c r="AC83" s="85">
        <f t="shared" si="28"/>
        <v>0</v>
      </c>
      <c r="AD83">
        <f t="shared" si="29"/>
        <v>0</v>
      </c>
      <c r="AE83">
        <f t="shared" si="30"/>
        <v>0</v>
      </c>
      <c r="AF83">
        <f>SUM($AC$8:AC83)</f>
        <v>469392</v>
      </c>
      <c r="AG83" s="97" t="str">
        <f t="shared" si="31"/>
        <v>0 w   0 d   0 h</v>
      </c>
    </row>
    <row r="84" spans="3:33" ht="15.6" x14ac:dyDescent="0.3">
      <c r="C84" s="125"/>
      <c r="D84" s="62" t="s">
        <v>6</v>
      </c>
      <c r="E84" s="127">
        <f>IFERROR(INDEX(DataTab,MATCH(C83,EtappenNo,0),20),"")</f>
        <v>86</v>
      </c>
      <c r="F84" s="26">
        <f>IFERROR(INDEX(DataTab,MATCH(C83,EtappenNo,0),21),"")</f>
        <v>56</v>
      </c>
      <c r="G84" s="16" t="str">
        <f>"gewonnen (" &amp; $K$3*100 &amp; "%): "</f>
        <v xml:space="preserve">gewonnen (65%): </v>
      </c>
      <c r="H84" s="18">
        <f>IFERROR(INDEX(DataTab,MATCH(C83,EtappenNo,0),17),"")</f>
        <v>3106.0555494366122</v>
      </c>
      <c r="I84" s="90"/>
      <c r="J84" s="83" t="str">
        <f t="shared" si="38"/>
        <v/>
      </c>
      <c r="K84" s="58" t="str">
        <f t="shared" si="21"/>
        <v/>
      </c>
      <c r="L84" s="59">
        <v>0.72</v>
      </c>
      <c r="M84" s="102" t="str">
        <f t="shared" si="36"/>
        <v/>
      </c>
      <c r="N84" s="104" t="str">
        <f t="shared" si="37"/>
        <v/>
      </c>
      <c r="O84" s="104" t="str">
        <f t="shared" si="39"/>
        <v/>
      </c>
      <c r="P84" s="76" t="str">
        <f t="shared" si="40"/>
        <v/>
      </c>
      <c r="Q84" s="96" t="str">
        <f t="shared" si="41"/>
        <v/>
      </c>
      <c r="U84" s="92">
        <f t="shared" si="22"/>
        <v>2000</v>
      </c>
      <c r="V84" s="92">
        <f t="shared" si="23"/>
        <v>0.72</v>
      </c>
      <c r="W84" s="92">
        <f t="shared" si="24"/>
        <v>3440</v>
      </c>
      <c r="X84" s="92">
        <f t="shared" si="25"/>
        <v>1440</v>
      </c>
      <c r="Y84" s="92">
        <f t="shared" si="42"/>
        <v>0</v>
      </c>
      <c r="Z84" s="92">
        <f t="shared" si="26"/>
        <v>0</v>
      </c>
      <c r="AA84" s="92">
        <f t="shared" si="27"/>
        <v>0</v>
      </c>
      <c r="AB84" s="92">
        <f t="shared" si="43"/>
        <v>0</v>
      </c>
      <c r="AC84" s="85">
        <f t="shared" si="28"/>
        <v>0</v>
      </c>
      <c r="AD84">
        <f t="shared" si="29"/>
        <v>0</v>
      </c>
      <c r="AE84">
        <f t="shared" si="30"/>
        <v>0</v>
      </c>
      <c r="AF84">
        <f>SUM($AC$8:AC84)</f>
        <v>469392</v>
      </c>
      <c r="AG84" s="97" t="str">
        <f t="shared" si="31"/>
        <v>0 w   0 d   0 h</v>
      </c>
    </row>
    <row r="85" spans="3:33" ht="16.2" thickBot="1" x14ac:dyDescent="0.35">
      <c r="C85" s="125"/>
      <c r="D85" s="61" t="s">
        <v>7</v>
      </c>
      <c r="E85" s="128"/>
      <c r="F85" s="27">
        <f>IFERROR(INDEX(DataTab,MATCH(C83,EtappenNo,0),22),"")</f>
        <v>30</v>
      </c>
      <c r="G85" s="15" t="str">
        <f xml:space="preserve"> " verloren (" &amp; (1-$K$3)*100 &amp; "%): "</f>
        <v xml:space="preserve"> verloren (35%): </v>
      </c>
      <c r="H85" s="19">
        <f>IFERROR(INDEX(DataTab,MATCH(C83,EtappenNo,0),18),"")</f>
        <v>-2311.0532361879555</v>
      </c>
      <c r="I85" s="90"/>
      <c r="J85" s="83" t="str">
        <f t="shared" si="38"/>
        <v/>
      </c>
      <c r="K85" s="58" t="str">
        <f t="shared" si="21"/>
        <v/>
      </c>
      <c r="L85" s="59">
        <v>0.72</v>
      </c>
      <c r="M85" s="102" t="str">
        <f t="shared" si="36"/>
        <v/>
      </c>
      <c r="N85" s="104" t="str">
        <f t="shared" si="37"/>
        <v/>
      </c>
      <c r="O85" s="104" t="str">
        <f t="shared" si="39"/>
        <v/>
      </c>
      <c r="P85" s="76" t="str">
        <f t="shared" si="40"/>
        <v/>
      </c>
      <c r="Q85" s="96" t="str">
        <f t="shared" si="41"/>
        <v/>
      </c>
      <c r="U85" s="92">
        <f t="shared" si="22"/>
        <v>2000</v>
      </c>
      <c r="V85" s="92">
        <f t="shared" si="23"/>
        <v>0.72</v>
      </c>
      <c r="W85" s="92">
        <f t="shared" si="24"/>
        <v>3440</v>
      </c>
      <c r="X85" s="92">
        <f t="shared" si="25"/>
        <v>1440</v>
      </c>
      <c r="Y85" s="92">
        <f t="shared" si="42"/>
        <v>0</v>
      </c>
      <c r="Z85" s="92">
        <f t="shared" si="26"/>
        <v>0</v>
      </c>
      <c r="AA85" s="92">
        <f t="shared" si="27"/>
        <v>0</v>
      </c>
      <c r="AB85" s="92">
        <f t="shared" si="43"/>
        <v>0</v>
      </c>
      <c r="AC85" s="85">
        <f t="shared" si="28"/>
        <v>0</v>
      </c>
      <c r="AD85">
        <f t="shared" si="29"/>
        <v>0</v>
      </c>
      <c r="AE85">
        <f t="shared" si="30"/>
        <v>0</v>
      </c>
      <c r="AF85">
        <f>SUM($AC$8:AC85)</f>
        <v>469392</v>
      </c>
      <c r="AG85" s="97" t="str">
        <f t="shared" si="31"/>
        <v>0 w   0 d   0 h</v>
      </c>
    </row>
    <row r="86" spans="3:33" ht="16.8" thickTop="1" thickBot="1" x14ac:dyDescent="0.35">
      <c r="C86" s="126"/>
      <c r="D86" s="60" t="s">
        <v>14</v>
      </c>
      <c r="E86" s="63" t="str">
        <f>IFERROR(INDEX(DataTab,MATCH(C83,EtappenNo,0),24),"")</f>
        <v>1 w   1 d   3 h</v>
      </c>
      <c r="F86" s="20"/>
      <c r="G86" s="21" t="str">
        <f>IFERROR("Budget nach " &amp; INDEX(DataTab,MATCH(C83,EtappenNo,0),23) &amp; " trades: ","")</f>
        <v xml:space="preserve">Budget nach 1360 trades: </v>
      </c>
      <c r="H86" s="28">
        <f>IFERROR(INDEX(DataTab,MATCH(C83,EtappenNo,0),19),"")</f>
        <v>4745.3906807719395</v>
      </c>
      <c r="I86" s="89" t="str">
        <f>IFERROR("(+ " &amp; ROUND(((H86/H83)-1)*100,0) &amp; "%)","")</f>
        <v>(+ 20%)</v>
      </c>
      <c r="J86" s="83" t="str">
        <f t="shared" si="38"/>
        <v/>
      </c>
      <c r="K86" s="58" t="str">
        <f t="shared" si="21"/>
        <v/>
      </c>
      <c r="L86" s="59">
        <v>0.72</v>
      </c>
      <c r="M86" s="102" t="str">
        <f t="shared" si="36"/>
        <v/>
      </c>
      <c r="N86" s="104" t="str">
        <f t="shared" si="37"/>
        <v/>
      </c>
      <c r="O86" s="104" t="str">
        <f t="shared" si="39"/>
        <v/>
      </c>
      <c r="P86" s="76" t="str">
        <f t="shared" si="40"/>
        <v/>
      </c>
      <c r="Q86" s="96" t="str">
        <f t="shared" si="41"/>
        <v/>
      </c>
      <c r="U86" s="92">
        <f t="shared" si="22"/>
        <v>2000</v>
      </c>
      <c r="V86" s="92">
        <f t="shared" si="23"/>
        <v>0.72</v>
      </c>
      <c r="W86" s="92">
        <f t="shared" si="24"/>
        <v>3440</v>
      </c>
      <c r="X86" s="92">
        <f t="shared" si="25"/>
        <v>1440</v>
      </c>
      <c r="Y86" s="92">
        <f t="shared" si="42"/>
        <v>0</v>
      </c>
      <c r="Z86" s="92">
        <f t="shared" si="26"/>
        <v>0</v>
      </c>
      <c r="AA86" s="92">
        <f t="shared" si="27"/>
        <v>0</v>
      </c>
      <c r="AB86" s="92">
        <f t="shared" si="43"/>
        <v>0</v>
      </c>
      <c r="AC86" s="85">
        <f t="shared" si="28"/>
        <v>0</v>
      </c>
      <c r="AD86">
        <f t="shared" si="29"/>
        <v>0</v>
      </c>
      <c r="AE86">
        <f t="shared" si="30"/>
        <v>0</v>
      </c>
      <c r="AF86">
        <f>SUM($AC$8:AC86)</f>
        <v>469392</v>
      </c>
      <c r="AG86" s="97" t="str">
        <f t="shared" si="31"/>
        <v>0 w   0 d   0 h</v>
      </c>
    </row>
    <row r="87" spans="3:33" ht="15" thickBot="1" x14ac:dyDescent="0.35">
      <c r="I87" s="91"/>
      <c r="J87" s="83" t="str">
        <f t="shared" si="38"/>
        <v/>
      </c>
      <c r="K87" s="58" t="str">
        <f t="shared" si="21"/>
        <v/>
      </c>
      <c r="L87" s="59">
        <v>0.72</v>
      </c>
      <c r="M87" s="102" t="str">
        <f t="shared" si="36"/>
        <v/>
      </c>
      <c r="N87" s="104" t="str">
        <f t="shared" si="37"/>
        <v/>
      </c>
      <c r="O87" s="104" t="str">
        <f t="shared" si="39"/>
        <v/>
      </c>
      <c r="P87" s="76" t="str">
        <f t="shared" si="40"/>
        <v/>
      </c>
      <c r="Q87" s="96" t="str">
        <f t="shared" si="41"/>
        <v/>
      </c>
      <c r="U87" s="92">
        <f t="shared" si="22"/>
        <v>2000</v>
      </c>
      <c r="V87" s="92">
        <f t="shared" si="23"/>
        <v>0.72</v>
      </c>
      <c r="W87" s="92">
        <f t="shared" si="24"/>
        <v>3440</v>
      </c>
      <c r="X87" s="92">
        <f t="shared" si="25"/>
        <v>1440</v>
      </c>
      <c r="Y87" s="92">
        <f t="shared" si="42"/>
        <v>0</v>
      </c>
      <c r="Z87" s="92">
        <f t="shared" si="26"/>
        <v>0</v>
      </c>
      <c r="AA87" s="92">
        <f t="shared" si="27"/>
        <v>0</v>
      </c>
      <c r="AB87" s="92">
        <f t="shared" si="43"/>
        <v>0</v>
      </c>
      <c r="AC87" s="85">
        <f t="shared" si="28"/>
        <v>0</v>
      </c>
      <c r="AD87">
        <f t="shared" si="29"/>
        <v>0</v>
      </c>
      <c r="AE87">
        <f t="shared" si="30"/>
        <v>0</v>
      </c>
      <c r="AF87">
        <f>SUM($AC$8:AC87)</f>
        <v>469392</v>
      </c>
      <c r="AG87" s="97" t="str">
        <f t="shared" si="31"/>
        <v>0 w   0 d   0 h</v>
      </c>
    </row>
    <row r="88" spans="3:33" ht="15.6" customHeight="1" x14ac:dyDescent="0.3">
      <c r="C88" s="124">
        <f>C83+1</f>
        <v>17</v>
      </c>
      <c r="D88" s="23">
        <f>IFERROR(INDEX(DataTab,MATCH(C88,EtappenNo,0),12),"")</f>
        <v>92.442129447518212</v>
      </c>
      <c r="E88" s="24">
        <f>IFERROR(INDEX(DataTab,MATCH(C88,EtappenNo,0),3),"")</f>
        <v>0.72</v>
      </c>
      <c r="F88" s="22">
        <f>IFERROR(INDEX(DataTab,MATCH(C88,EtappenNo,0),14),"")</f>
        <v>159.00046264973133</v>
      </c>
      <c r="G88" s="25">
        <f>IFERROR(INDEX(DataTab,MATCH(C88,EtappenNo,0),15),"")</f>
        <v>66.558333202213106</v>
      </c>
      <c r="H88" s="87">
        <f>IFERROR(INDEX(DataTab,MATCH(C88,EtappenNo,0),16),"")</f>
        <v>4745.3906807719395</v>
      </c>
      <c r="I88" s="90"/>
      <c r="J88" s="83" t="str">
        <f t="shared" si="38"/>
        <v/>
      </c>
      <c r="K88" s="58" t="str">
        <f t="shared" si="21"/>
        <v/>
      </c>
      <c r="L88" s="57">
        <v>0.72</v>
      </c>
      <c r="M88" s="102" t="str">
        <f t="shared" si="36"/>
        <v/>
      </c>
      <c r="N88" s="104" t="str">
        <f t="shared" si="37"/>
        <v/>
      </c>
      <c r="O88" s="104" t="str">
        <f t="shared" si="39"/>
        <v/>
      </c>
      <c r="P88" s="76" t="str">
        <f t="shared" si="40"/>
        <v/>
      </c>
      <c r="Q88" s="96" t="str">
        <f t="shared" si="41"/>
        <v/>
      </c>
      <c r="U88" s="92">
        <f t="shared" si="22"/>
        <v>2000</v>
      </c>
      <c r="V88" s="92">
        <f t="shared" si="23"/>
        <v>0.72</v>
      </c>
      <c r="W88" s="92">
        <f t="shared" si="24"/>
        <v>3440</v>
      </c>
      <c r="X88" s="92">
        <f t="shared" si="25"/>
        <v>1440</v>
      </c>
      <c r="Y88" s="92">
        <f t="shared" si="42"/>
        <v>0</v>
      </c>
      <c r="Z88" s="92">
        <f t="shared" si="26"/>
        <v>0</v>
      </c>
      <c r="AA88" s="92">
        <f t="shared" si="27"/>
        <v>0</v>
      </c>
      <c r="AB88" s="92">
        <f t="shared" si="43"/>
        <v>0</v>
      </c>
      <c r="AC88" s="85">
        <f t="shared" si="28"/>
        <v>0</v>
      </c>
      <c r="AD88">
        <f t="shared" si="29"/>
        <v>0</v>
      </c>
      <c r="AE88">
        <f t="shared" si="30"/>
        <v>0</v>
      </c>
      <c r="AF88">
        <f>SUM($AC$8:AC88)</f>
        <v>469392</v>
      </c>
      <c r="AG88" s="97" t="str">
        <f t="shared" si="31"/>
        <v>0 w   0 d   0 h</v>
      </c>
    </row>
    <row r="89" spans="3:33" ht="15.6" x14ac:dyDescent="0.3">
      <c r="C89" s="125"/>
      <c r="D89" s="62" t="s">
        <v>6</v>
      </c>
      <c r="E89" s="127">
        <f>IFERROR(INDEX(DataTab,MATCH(C88,EtappenNo,0),20),"")</f>
        <v>86</v>
      </c>
      <c r="F89" s="26">
        <f>IFERROR(INDEX(DataTab,MATCH(C88,EtappenNo,0),21),"")</f>
        <v>56</v>
      </c>
      <c r="G89" s="16" t="str">
        <f>"gewonnen (" &amp; $K$3*100 &amp; "%): "</f>
        <v xml:space="preserve">gewonnen (65%): </v>
      </c>
      <c r="H89" s="18">
        <f>IFERROR(INDEX(DataTab,MATCH(C88,EtappenNo,0),17),"")</f>
        <v>3727.2666593239337</v>
      </c>
      <c r="I89" s="90"/>
      <c r="J89" s="83" t="str">
        <f t="shared" si="38"/>
        <v/>
      </c>
      <c r="K89" s="58" t="str">
        <f t="shared" si="21"/>
        <v/>
      </c>
      <c r="L89" s="59">
        <v>0.72</v>
      </c>
      <c r="M89" s="102" t="str">
        <f t="shared" si="36"/>
        <v/>
      </c>
      <c r="N89" s="104" t="str">
        <f t="shared" si="37"/>
        <v/>
      </c>
      <c r="O89" s="104" t="str">
        <f t="shared" si="39"/>
        <v/>
      </c>
      <c r="P89" s="76" t="str">
        <f t="shared" si="40"/>
        <v/>
      </c>
      <c r="Q89" s="96" t="str">
        <f t="shared" si="41"/>
        <v/>
      </c>
      <c r="U89" s="92">
        <f t="shared" si="22"/>
        <v>2000</v>
      </c>
      <c r="V89" s="92">
        <f t="shared" si="23"/>
        <v>0.72</v>
      </c>
      <c r="W89" s="92">
        <f t="shared" si="24"/>
        <v>3440</v>
      </c>
      <c r="X89" s="92">
        <f t="shared" si="25"/>
        <v>1440</v>
      </c>
      <c r="Y89" s="92">
        <f t="shared" si="42"/>
        <v>0</v>
      </c>
      <c r="Z89" s="92">
        <f t="shared" si="26"/>
        <v>0</v>
      </c>
      <c r="AA89" s="92">
        <f t="shared" si="27"/>
        <v>0</v>
      </c>
      <c r="AB89" s="92">
        <f t="shared" si="43"/>
        <v>0</v>
      </c>
      <c r="AC89" s="85">
        <f t="shared" si="28"/>
        <v>0</v>
      </c>
      <c r="AD89">
        <f t="shared" si="29"/>
        <v>0</v>
      </c>
      <c r="AE89">
        <f t="shared" si="30"/>
        <v>0</v>
      </c>
      <c r="AF89">
        <f>SUM($AC$8:AC89)</f>
        <v>469392</v>
      </c>
      <c r="AG89" s="97" t="str">
        <f t="shared" si="31"/>
        <v>0 w   0 d   0 h</v>
      </c>
    </row>
    <row r="90" spans="3:33" ht="16.2" thickBot="1" x14ac:dyDescent="0.35">
      <c r="C90" s="125"/>
      <c r="D90" s="61" t="s">
        <v>7</v>
      </c>
      <c r="E90" s="128"/>
      <c r="F90" s="27">
        <f>IFERROR(INDEX(DataTab,MATCH(C88,EtappenNo,0),22),"")</f>
        <v>30</v>
      </c>
      <c r="G90" s="15" t="str">
        <f xml:space="preserve"> " verloren (" &amp; (1-$K$3)*100 &amp; "%): "</f>
        <v xml:space="preserve"> verloren (35%): </v>
      </c>
      <c r="H90" s="19">
        <f>IFERROR(INDEX(DataTab,MATCH(C88,EtappenNo,0),18),"")</f>
        <v>-2773.2638834255463</v>
      </c>
      <c r="I90" s="90"/>
      <c r="J90" s="83" t="str">
        <f t="shared" si="38"/>
        <v/>
      </c>
      <c r="K90" s="58" t="str">
        <f t="shared" si="21"/>
        <v/>
      </c>
      <c r="L90" s="59">
        <v>0.72</v>
      </c>
      <c r="M90" s="102" t="str">
        <f t="shared" si="36"/>
        <v/>
      </c>
      <c r="N90" s="104" t="str">
        <f t="shared" si="37"/>
        <v/>
      </c>
      <c r="O90" s="104" t="str">
        <f t="shared" si="39"/>
        <v/>
      </c>
      <c r="P90" s="76" t="str">
        <f t="shared" si="40"/>
        <v/>
      </c>
      <c r="Q90" s="96" t="str">
        <f t="shared" si="41"/>
        <v/>
      </c>
      <c r="U90" s="92">
        <f t="shared" si="22"/>
        <v>2000</v>
      </c>
      <c r="V90" s="92">
        <f t="shared" si="23"/>
        <v>0.72</v>
      </c>
      <c r="W90" s="92">
        <f t="shared" si="24"/>
        <v>3440</v>
      </c>
      <c r="X90" s="92">
        <f t="shared" si="25"/>
        <v>1440</v>
      </c>
      <c r="Y90" s="92">
        <f t="shared" si="42"/>
        <v>0</v>
      </c>
      <c r="Z90" s="92">
        <f t="shared" si="26"/>
        <v>0</v>
      </c>
      <c r="AA90" s="92">
        <f t="shared" si="27"/>
        <v>0</v>
      </c>
      <c r="AB90" s="92">
        <f t="shared" si="43"/>
        <v>0</v>
      </c>
      <c r="AC90" s="85">
        <f t="shared" si="28"/>
        <v>0</v>
      </c>
      <c r="AD90">
        <f t="shared" si="29"/>
        <v>0</v>
      </c>
      <c r="AE90">
        <f t="shared" si="30"/>
        <v>0</v>
      </c>
      <c r="AF90">
        <f>SUM($AC$8:AC90)</f>
        <v>469392</v>
      </c>
      <c r="AG90" s="97" t="str">
        <f t="shared" si="31"/>
        <v>0 w   0 d   0 h</v>
      </c>
    </row>
    <row r="91" spans="3:33" ht="16.8" thickTop="1" thickBot="1" x14ac:dyDescent="0.35">
      <c r="C91" s="126"/>
      <c r="D91" s="60" t="s">
        <v>14</v>
      </c>
      <c r="E91" s="63" t="str">
        <f>IFERROR(INDEX(DataTab,MATCH(C88,EtappenNo,0),24),"")</f>
        <v>1 w   1 d   3 h</v>
      </c>
      <c r="F91" s="20"/>
      <c r="G91" s="21" t="str">
        <f>IFERROR("Budget nach " &amp; INDEX(DataTab,MATCH(C88,EtappenNo,0),23) &amp; " trades: ","")</f>
        <v xml:space="preserve">Budget nach 1446 trades: </v>
      </c>
      <c r="H91" s="28">
        <f>IFERROR(INDEX(DataTab,MATCH(C88,EtappenNo,0),19),"")</f>
        <v>5699.3934566703265</v>
      </c>
      <c r="I91" s="89" t="str">
        <f>IFERROR("(+ " &amp; ROUND(((H91/H88)-1)*100,0) &amp; "%)","")</f>
        <v>(+ 20%)</v>
      </c>
      <c r="J91" s="83" t="str">
        <f t="shared" si="38"/>
        <v/>
      </c>
      <c r="K91" s="58" t="str">
        <f t="shared" si="21"/>
        <v/>
      </c>
      <c r="L91" s="59">
        <v>0.72</v>
      </c>
      <c r="M91" s="102" t="str">
        <f t="shared" si="36"/>
        <v/>
      </c>
      <c r="N91" s="104" t="str">
        <f t="shared" si="37"/>
        <v/>
      </c>
      <c r="O91" s="104" t="str">
        <f t="shared" si="39"/>
        <v/>
      </c>
      <c r="P91" s="76" t="str">
        <f t="shared" si="40"/>
        <v/>
      </c>
      <c r="Q91" s="96" t="str">
        <f t="shared" si="41"/>
        <v/>
      </c>
      <c r="U91" s="92">
        <f t="shared" si="22"/>
        <v>2000</v>
      </c>
      <c r="V91" s="92">
        <f t="shared" si="23"/>
        <v>0.72</v>
      </c>
      <c r="W91" s="92">
        <f t="shared" si="24"/>
        <v>3440</v>
      </c>
      <c r="X91" s="92">
        <f t="shared" si="25"/>
        <v>1440</v>
      </c>
      <c r="Y91" s="92">
        <f t="shared" si="42"/>
        <v>0</v>
      </c>
      <c r="Z91" s="92">
        <f t="shared" si="26"/>
        <v>0</v>
      </c>
      <c r="AA91" s="92">
        <f t="shared" si="27"/>
        <v>0</v>
      </c>
      <c r="AB91" s="92">
        <f t="shared" si="43"/>
        <v>0</v>
      </c>
      <c r="AC91" s="85">
        <f t="shared" si="28"/>
        <v>0</v>
      </c>
      <c r="AD91">
        <f t="shared" si="29"/>
        <v>0</v>
      </c>
      <c r="AE91">
        <f t="shared" si="30"/>
        <v>0</v>
      </c>
      <c r="AF91">
        <f>SUM($AC$8:AC91)</f>
        <v>469392</v>
      </c>
      <c r="AG91" s="97" t="str">
        <f t="shared" si="31"/>
        <v>0 w   0 d   0 h</v>
      </c>
    </row>
    <row r="92" spans="3:33" ht="15" thickBot="1" x14ac:dyDescent="0.35">
      <c r="I92" s="91"/>
      <c r="J92" s="83" t="str">
        <f t="shared" si="38"/>
        <v/>
      </c>
      <c r="K92" s="58" t="str">
        <f t="shared" ref="K92:K107" si="44">IF(Y92=0,"",U92)</f>
        <v/>
      </c>
      <c r="L92" s="59">
        <v>0.72</v>
      </c>
      <c r="M92" s="102" t="str">
        <f t="shared" si="36"/>
        <v/>
      </c>
      <c r="N92" s="104" t="str">
        <f t="shared" si="37"/>
        <v/>
      </c>
      <c r="O92" s="104" t="str">
        <f t="shared" si="39"/>
        <v/>
      </c>
      <c r="P92" s="76" t="str">
        <f t="shared" si="40"/>
        <v/>
      </c>
      <c r="Q92" s="96" t="str">
        <f t="shared" si="41"/>
        <v/>
      </c>
      <c r="U92" s="92">
        <f t="shared" ref="U92:U107" si="45">IF(U91+(U91*$H$2)&lt;=$E$3,U91+(U91*$H$2),$E$3)</f>
        <v>2000</v>
      </c>
      <c r="V92" s="92">
        <f t="shared" ref="V92:V107" si="46">L92</f>
        <v>0.72</v>
      </c>
      <c r="W92" s="92">
        <f t="shared" ref="W92:W107" si="47">(U92*V92)+U92</f>
        <v>3440</v>
      </c>
      <c r="X92" s="92">
        <f t="shared" ref="X92:X107" si="48">U92*V92</f>
        <v>1440</v>
      </c>
      <c r="Y92" s="92">
        <f t="shared" si="42"/>
        <v>0</v>
      </c>
      <c r="Z92" s="92">
        <f t="shared" ref="Z92:Z107" si="49">AD92*X92</f>
        <v>0</v>
      </c>
      <c r="AA92" s="92">
        <f t="shared" ref="AA92:AA107" si="50">AE92*U92*-1</f>
        <v>0</v>
      </c>
      <c r="AB92" s="92">
        <f t="shared" si="43"/>
        <v>0</v>
      </c>
      <c r="AC92" s="85">
        <f t="shared" ref="AC92:AC107" si="51">IF(ROUND(Y92*$H$2/((($K$3/(1-$K$3))*V92*U92)-U92),0)&lt;0,"Nicht profitabel!",ROUND(Y92*$H$2/((($K$3/(1-$K$3))*V92*U92)-U92),0)+ROUND(($K$3/(1-$K$3))*ROUND(Y92*$H$2/((($K$3/(1-$K$3))*V92*U92)-U92),0),0))</f>
        <v>0</v>
      </c>
      <c r="AD92">
        <f t="shared" ref="AD92:AD107" si="52">IF(ROUND(($K$3/(1-$K$3))*ROUND(Y92*$H$2/((($K$3/(1-$K$3))*V92*U92)-U92),0),0)&gt;=0,ROUND(($K$3/(1-$K$3))*ROUND(Y92*$H$2/((($K$3/(1-$K$3))*V92*U92)-U92),0),0),0)</f>
        <v>0</v>
      </c>
      <c r="AE92">
        <f t="shared" ref="AE92:AE107" si="53">IF(ROUND(Y92*$H$2/((($K$3/(1-$K$3))*V92*U92)-U92),0)&gt;=0,ROUND(Y92*$H$2/((($K$3/(1-$K$3))*V92*U92)-U92),0),0)</f>
        <v>0</v>
      </c>
      <c r="AF92">
        <f>SUM($AC$8:AC92)</f>
        <v>469392</v>
      </c>
      <c r="AG92" s="97" t="str">
        <f t="shared" ref="AG92:AG107" si="54">IFERROR(INT(AC92/($S$3*$Q$3*$Q$2)) &amp; " w   " &amp; INT((AC92-(INT(AC92/($S$3*$Q$3*$Q$2))*$S$3*$Q$3*$Q$2))/($Q$3*$Q$2)) &amp; " d   " &amp; ROUNDUP((AC92-(INT(AC92/($S$3*$Q$3*$Q$2))*$S$3*$Q$3*$Q$2)-(INT((AC92-(INT(AC92/($S$3*$Q$3*$Q$2))*$S$3*$Q$3*$Q$2))/($Q$3*$Q$2))*$Q$2*$Q$3))/$Q$2,0) &amp; " h","")</f>
        <v>0 w   0 d   0 h</v>
      </c>
    </row>
    <row r="93" spans="3:33" ht="15.6" customHeight="1" x14ac:dyDescent="0.3">
      <c r="C93" s="124">
        <f>C88+1</f>
        <v>18</v>
      </c>
      <c r="D93" s="23">
        <f>IFERROR(INDEX(DataTab,MATCH(C93,EtappenNo,0),12),"")</f>
        <v>110.93055533702186</v>
      </c>
      <c r="E93" s="24">
        <f>IFERROR(INDEX(DataTab,MATCH(C93,EtappenNo,0),3),"")</f>
        <v>0.72</v>
      </c>
      <c r="F93" s="22">
        <f>IFERROR(INDEX(DataTab,MATCH(C93,EtappenNo,0),14),"")</f>
        <v>190.80055517967759</v>
      </c>
      <c r="G93" s="25">
        <f>IFERROR(INDEX(DataTab,MATCH(C93,EtappenNo,0),15),"")</f>
        <v>79.86999984265573</v>
      </c>
      <c r="H93" s="87">
        <f>IFERROR(INDEX(DataTab,MATCH(C93,EtappenNo,0),16),"")</f>
        <v>5699.3934566703265</v>
      </c>
      <c r="I93" s="90"/>
      <c r="J93" s="83" t="str">
        <f t="shared" si="38"/>
        <v/>
      </c>
      <c r="K93" s="58" t="str">
        <f t="shared" si="44"/>
        <v/>
      </c>
      <c r="L93" s="59">
        <v>0.72</v>
      </c>
      <c r="M93" s="102" t="str">
        <f t="shared" si="36"/>
        <v/>
      </c>
      <c r="N93" s="104" t="str">
        <f t="shared" si="37"/>
        <v/>
      </c>
      <c r="O93" s="104" t="str">
        <f t="shared" si="39"/>
        <v/>
      </c>
      <c r="P93" s="76" t="str">
        <f t="shared" si="40"/>
        <v/>
      </c>
      <c r="Q93" s="96" t="str">
        <f t="shared" si="41"/>
        <v/>
      </c>
      <c r="U93" s="92">
        <f t="shared" si="45"/>
        <v>2000</v>
      </c>
      <c r="V93" s="92">
        <f t="shared" si="46"/>
        <v>0.72</v>
      </c>
      <c r="W93" s="92">
        <f t="shared" si="47"/>
        <v>3440</v>
      </c>
      <c r="X93" s="92">
        <f t="shared" si="48"/>
        <v>1440</v>
      </c>
      <c r="Y93" s="92">
        <f t="shared" si="42"/>
        <v>0</v>
      </c>
      <c r="Z93" s="92">
        <f t="shared" si="49"/>
        <v>0</v>
      </c>
      <c r="AA93" s="92">
        <f t="shared" si="50"/>
        <v>0</v>
      </c>
      <c r="AB93" s="92">
        <f t="shared" si="43"/>
        <v>0</v>
      </c>
      <c r="AC93" s="85">
        <f t="shared" si="51"/>
        <v>0</v>
      </c>
      <c r="AD93">
        <f t="shared" si="52"/>
        <v>0</v>
      </c>
      <c r="AE93">
        <f t="shared" si="53"/>
        <v>0</v>
      </c>
      <c r="AF93">
        <f>SUM($AC$8:AC93)</f>
        <v>469392</v>
      </c>
      <c r="AG93" s="97" t="str">
        <f t="shared" si="54"/>
        <v>0 w   0 d   0 h</v>
      </c>
    </row>
    <row r="94" spans="3:33" ht="15.6" x14ac:dyDescent="0.3">
      <c r="C94" s="125"/>
      <c r="D94" s="62" t="s">
        <v>6</v>
      </c>
      <c r="E94" s="127">
        <f>IFERROR(INDEX(DataTab,MATCH(C93,EtappenNo,0),20),"")</f>
        <v>86</v>
      </c>
      <c r="F94" s="26">
        <f>IFERROR(INDEX(DataTab,MATCH(C93,EtappenNo,0),21),"")</f>
        <v>56</v>
      </c>
      <c r="G94" s="16" t="str">
        <f>"gewonnen (" &amp; $K$3*100 &amp; "%): "</f>
        <v xml:space="preserve">gewonnen (65%): </v>
      </c>
      <c r="H94" s="18">
        <f>IFERROR(INDEX(DataTab,MATCH(C93,EtappenNo,0),17),"")</f>
        <v>4472.719991188721</v>
      </c>
      <c r="I94" s="90"/>
      <c r="J94" s="83" t="str">
        <f t="shared" si="38"/>
        <v/>
      </c>
      <c r="K94" s="58" t="str">
        <f t="shared" si="44"/>
        <v/>
      </c>
      <c r="L94" s="59">
        <v>0.72</v>
      </c>
      <c r="M94" s="102" t="str">
        <f t="shared" si="36"/>
        <v/>
      </c>
      <c r="N94" s="104" t="str">
        <f t="shared" si="37"/>
        <v/>
      </c>
      <c r="O94" s="104" t="str">
        <f t="shared" si="39"/>
        <v/>
      </c>
      <c r="P94" s="76" t="str">
        <f t="shared" si="40"/>
        <v/>
      </c>
      <c r="Q94" s="96" t="str">
        <f t="shared" si="41"/>
        <v/>
      </c>
      <c r="U94" s="92">
        <f t="shared" si="45"/>
        <v>2000</v>
      </c>
      <c r="V94" s="92">
        <f t="shared" si="46"/>
        <v>0.72</v>
      </c>
      <c r="W94" s="92">
        <f t="shared" si="47"/>
        <v>3440</v>
      </c>
      <c r="X94" s="92">
        <f t="shared" si="48"/>
        <v>1440</v>
      </c>
      <c r="Y94" s="92">
        <f t="shared" si="42"/>
        <v>0</v>
      </c>
      <c r="Z94" s="92">
        <f t="shared" si="49"/>
        <v>0</v>
      </c>
      <c r="AA94" s="92">
        <f t="shared" si="50"/>
        <v>0</v>
      </c>
      <c r="AB94" s="92">
        <f t="shared" si="43"/>
        <v>0</v>
      </c>
      <c r="AC94" s="85">
        <f t="shared" si="51"/>
        <v>0</v>
      </c>
      <c r="AD94">
        <f t="shared" si="52"/>
        <v>0</v>
      </c>
      <c r="AE94">
        <f t="shared" si="53"/>
        <v>0</v>
      </c>
      <c r="AF94">
        <f>SUM($AC$8:AC94)</f>
        <v>469392</v>
      </c>
      <c r="AG94" s="97" t="str">
        <f t="shared" si="54"/>
        <v>0 w   0 d   0 h</v>
      </c>
    </row>
    <row r="95" spans="3:33" ht="16.2" thickBot="1" x14ac:dyDescent="0.35">
      <c r="C95" s="125"/>
      <c r="D95" s="61" t="s">
        <v>7</v>
      </c>
      <c r="E95" s="128"/>
      <c r="F95" s="27">
        <f>IFERROR(INDEX(DataTab,MATCH(C93,EtappenNo,0),22),"")</f>
        <v>30</v>
      </c>
      <c r="G95" s="15" t="str">
        <f xml:space="preserve"> " verloren (" &amp; (1-$K$3)*100 &amp; "%): "</f>
        <v xml:space="preserve"> verloren (35%): </v>
      </c>
      <c r="H95" s="19">
        <f>IFERROR(INDEX(DataTab,MATCH(C93,EtappenNo,0),18),"")</f>
        <v>-3327.9166601106558</v>
      </c>
      <c r="I95" s="90"/>
      <c r="J95" s="83" t="str">
        <f t="shared" si="38"/>
        <v/>
      </c>
      <c r="K95" s="58" t="str">
        <f t="shared" si="44"/>
        <v/>
      </c>
      <c r="L95" s="59">
        <v>0.72</v>
      </c>
      <c r="M95" s="102" t="str">
        <f t="shared" si="36"/>
        <v/>
      </c>
      <c r="N95" s="104" t="str">
        <f t="shared" si="37"/>
        <v/>
      </c>
      <c r="O95" s="104" t="str">
        <f t="shared" si="39"/>
        <v/>
      </c>
      <c r="P95" s="76" t="str">
        <f t="shared" si="40"/>
        <v/>
      </c>
      <c r="Q95" s="96" t="str">
        <f t="shared" si="41"/>
        <v/>
      </c>
      <c r="U95" s="92">
        <f t="shared" si="45"/>
        <v>2000</v>
      </c>
      <c r="V95" s="92">
        <f t="shared" si="46"/>
        <v>0.72</v>
      </c>
      <c r="W95" s="92">
        <f t="shared" si="47"/>
        <v>3440</v>
      </c>
      <c r="X95" s="92">
        <f t="shared" si="48"/>
        <v>1440</v>
      </c>
      <c r="Y95" s="92">
        <f t="shared" si="42"/>
        <v>0</v>
      </c>
      <c r="Z95" s="92">
        <f t="shared" si="49"/>
        <v>0</v>
      </c>
      <c r="AA95" s="92">
        <f t="shared" si="50"/>
        <v>0</v>
      </c>
      <c r="AB95" s="92">
        <f t="shared" si="43"/>
        <v>0</v>
      </c>
      <c r="AC95" s="85">
        <f t="shared" si="51"/>
        <v>0</v>
      </c>
      <c r="AD95">
        <f t="shared" si="52"/>
        <v>0</v>
      </c>
      <c r="AE95">
        <f t="shared" si="53"/>
        <v>0</v>
      </c>
      <c r="AF95">
        <f>SUM($AC$8:AC95)</f>
        <v>469392</v>
      </c>
      <c r="AG95" s="97" t="str">
        <f t="shared" si="54"/>
        <v>0 w   0 d   0 h</v>
      </c>
    </row>
    <row r="96" spans="3:33" ht="16.8" thickTop="1" thickBot="1" x14ac:dyDescent="0.35">
      <c r="C96" s="126"/>
      <c r="D96" s="60" t="s">
        <v>14</v>
      </c>
      <c r="E96" s="63" t="str">
        <f>IFERROR(INDEX(DataTab,MATCH(C93,EtappenNo,0),24),"")</f>
        <v>1 w   1 d   3 h</v>
      </c>
      <c r="F96" s="20"/>
      <c r="G96" s="21" t="str">
        <f>IFERROR("Budget nach " &amp; INDEX(DataTab,MATCH(C93,EtappenNo,0),23) &amp; " trades: ","")</f>
        <v xml:space="preserve">Budget nach 1532 trades: </v>
      </c>
      <c r="H96" s="28">
        <f>IFERROR(INDEX(DataTab,MATCH(C93,EtappenNo,0),19),"")</f>
        <v>6844.1967877483912</v>
      </c>
      <c r="I96" s="89" t="str">
        <f>IFERROR("(+ " &amp; ROUND(((H96/H93)-1)*100,0) &amp; "%)","")</f>
        <v>(+ 20%)</v>
      </c>
      <c r="J96" s="83" t="str">
        <f t="shared" si="38"/>
        <v/>
      </c>
      <c r="K96" s="58" t="str">
        <f t="shared" si="44"/>
        <v/>
      </c>
      <c r="L96" s="59">
        <v>0.72</v>
      </c>
      <c r="M96" s="102" t="str">
        <f t="shared" si="36"/>
        <v/>
      </c>
      <c r="N96" s="104" t="str">
        <f t="shared" si="37"/>
        <v/>
      </c>
      <c r="O96" s="104" t="str">
        <f t="shared" si="39"/>
        <v/>
      </c>
      <c r="P96" s="76" t="str">
        <f t="shared" si="40"/>
        <v/>
      </c>
      <c r="Q96" s="96" t="str">
        <f t="shared" si="41"/>
        <v/>
      </c>
      <c r="U96" s="92">
        <f t="shared" si="45"/>
        <v>2000</v>
      </c>
      <c r="V96" s="92">
        <f t="shared" si="46"/>
        <v>0.72</v>
      </c>
      <c r="W96" s="92">
        <f t="shared" si="47"/>
        <v>3440</v>
      </c>
      <c r="X96" s="92">
        <f t="shared" si="48"/>
        <v>1440</v>
      </c>
      <c r="Y96" s="92">
        <f t="shared" si="42"/>
        <v>0</v>
      </c>
      <c r="Z96" s="92">
        <f t="shared" si="49"/>
        <v>0</v>
      </c>
      <c r="AA96" s="92">
        <f t="shared" si="50"/>
        <v>0</v>
      </c>
      <c r="AB96" s="92">
        <f t="shared" si="43"/>
        <v>0</v>
      </c>
      <c r="AC96" s="85">
        <f t="shared" si="51"/>
        <v>0</v>
      </c>
      <c r="AD96">
        <f t="shared" si="52"/>
        <v>0</v>
      </c>
      <c r="AE96">
        <f t="shared" si="53"/>
        <v>0</v>
      </c>
      <c r="AF96">
        <f>SUM($AC$8:AC96)</f>
        <v>469392</v>
      </c>
      <c r="AG96" s="97" t="str">
        <f t="shared" si="54"/>
        <v>0 w   0 d   0 h</v>
      </c>
    </row>
    <row r="97" spans="3:33" ht="15" thickBot="1" x14ac:dyDescent="0.35">
      <c r="I97" s="91"/>
      <c r="J97" s="83" t="str">
        <f t="shared" si="38"/>
        <v/>
      </c>
      <c r="K97" s="58" t="str">
        <f t="shared" si="44"/>
        <v/>
      </c>
      <c r="L97" s="57">
        <v>0.72</v>
      </c>
      <c r="M97" s="102" t="str">
        <f t="shared" si="36"/>
        <v/>
      </c>
      <c r="N97" s="104" t="str">
        <f t="shared" si="37"/>
        <v/>
      </c>
      <c r="O97" s="104" t="str">
        <f t="shared" si="39"/>
        <v/>
      </c>
      <c r="P97" s="76" t="str">
        <f t="shared" si="40"/>
        <v/>
      </c>
      <c r="Q97" s="96" t="str">
        <f t="shared" si="41"/>
        <v/>
      </c>
      <c r="U97" s="92">
        <f t="shared" si="45"/>
        <v>2000</v>
      </c>
      <c r="V97" s="92">
        <f t="shared" si="46"/>
        <v>0.72</v>
      </c>
      <c r="W97" s="92">
        <f t="shared" si="47"/>
        <v>3440</v>
      </c>
      <c r="X97" s="92">
        <f t="shared" si="48"/>
        <v>1440</v>
      </c>
      <c r="Y97" s="92">
        <f t="shared" si="42"/>
        <v>0</v>
      </c>
      <c r="Z97" s="92">
        <f t="shared" si="49"/>
        <v>0</v>
      </c>
      <c r="AA97" s="92">
        <f t="shared" si="50"/>
        <v>0</v>
      </c>
      <c r="AB97" s="92">
        <f t="shared" si="43"/>
        <v>0</v>
      </c>
      <c r="AC97" s="85">
        <f t="shared" si="51"/>
        <v>0</v>
      </c>
      <c r="AD97">
        <f t="shared" si="52"/>
        <v>0</v>
      </c>
      <c r="AE97">
        <f t="shared" si="53"/>
        <v>0</v>
      </c>
      <c r="AF97">
        <f>SUM($AC$8:AC97)</f>
        <v>469392</v>
      </c>
      <c r="AG97" s="97" t="str">
        <f t="shared" si="54"/>
        <v>0 w   0 d   0 h</v>
      </c>
    </row>
    <row r="98" spans="3:33" ht="15.6" customHeight="1" x14ac:dyDescent="0.3">
      <c r="C98" s="124">
        <f>C93+1</f>
        <v>19</v>
      </c>
      <c r="D98" s="23">
        <f>IFERROR(INDEX(DataTab,MATCH(C98,EtappenNo,0),12),"")</f>
        <v>133.11666640442624</v>
      </c>
      <c r="E98" s="24">
        <f>IFERROR(INDEX(DataTab,MATCH(C98,EtappenNo,0),3),"")</f>
        <v>0.72</v>
      </c>
      <c r="F98" s="22">
        <f>IFERROR(INDEX(DataTab,MATCH(C98,EtappenNo,0),14),"")</f>
        <v>228.96066621561312</v>
      </c>
      <c r="G98" s="25">
        <f>IFERROR(INDEX(DataTab,MATCH(C98,EtappenNo,0),15),"")</f>
        <v>95.84399981118689</v>
      </c>
      <c r="H98" s="87">
        <f>IFERROR(INDEX(DataTab,MATCH(C98,EtappenNo,0),16),"")</f>
        <v>6844.1967877483912</v>
      </c>
      <c r="I98" s="90"/>
      <c r="J98" s="83" t="str">
        <f t="shared" si="38"/>
        <v/>
      </c>
      <c r="K98" s="58" t="str">
        <f t="shared" si="44"/>
        <v/>
      </c>
      <c r="L98" s="59">
        <v>0.72</v>
      </c>
      <c r="M98" s="102" t="str">
        <f t="shared" si="36"/>
        <v/>
      </c>
      <c r="N98" s="104" t="str">
        <f t="shared" si="37"/>
        <v/>
      </c>
      <c r="O98" s="104" t="str">
        <f t="shared" si="39"/>
        <v/>
      </c>
      <c r="P98" s="76" t="str">
        <f t="shared" si="40"/>
        <v/>
      </c>
      <c r="Q98" s="96" t="str">
        <f t="shared" si="41"/>
        <v/>
      </c>
      <c r="U98" s="92">
        <f t="shared" si="45"/>
        <v>2000</v>
      </c>
      <c r="V98" s="92">
        <f t="shared" si="46"/>
        <v>0.72</v>
      </c>
      <c r="W98" s="92">
        <f t="shared" si="47"/>
        <v>3440</v>
      </c>
      <c r="X98" s="92">
        <f t="shared" si="48"/>
        <v>1440</v>
      </c>
      <c r="Y98" s="92">
        <f t="shared" si="42"/>
        <v>0</v>
      </c>
      <c r="Z98" s="92">
        <f t="shared" si="49"/>
        <v>0</v>
      </c>
      <c r="AA98" s="92">
        <f t="shared" si="50"/>
        <v>0</v>
      </c>
      <c r="AB98" s="92">
        <f t="shared" si="43"/>
        <v>0</v>
      </c>
      <c r="AC98" s="85">
        <f t="shared" si="51"/>
        <v>0</v>
      </c>
      <c r="AD98">
        <f t="shared" si="52"/>
        <v>0</v>
      </c>
      <c r="AE98">
        <f t="shared" si="53"/>
        <v>0</v>
      </c>
      <c r="AF98">
        <f>SUM($AC$8:AC98)</f>
        <v>469392</v>
      </c>
      <c r="AG98" s="97" t="str">
        <f t="shared" si="54"/>
        <v>0 w   0 d   0 h</v>
      </c>
    </row>
    <row r="99" spans="3:33" ht="15.6" x14ac:dyDescent="0.3">
      <c r="C99" s="125"/>
      <c r="D99" s="62" t="s">
        <v>6</v>
      </c>
      <c r="E99" s="127">
        <f>IFERROR(INDEX(DataTab,MATCH(C98,EtappenNo,0),20),"")</f>
        <v>89</v>
      </c>
      <c r="F99" s="26">
        <f>IFERROR(INDEX(DataTab,MATCH(C98,EtappenNo,0),21),"")</f>
        <v>58</v>
      </c>
      <c r="G99" s="16" t="str">
        <f>"gewonnen (" &amp; $K$3*100 &amp; "%): "</f>
        <v xml:space="preserve">gewonnen (65%): </v>
      </c>
      <c r="H99" s="18">
        <f>IFERROR(INDEX(DataTab,MATCH(C98,EtappenNo,0),17),"")</f>
        <v>5558.95198904884</v>
      </c>
      <c r="I99" s="90"/>
      <c r="J99" s="83" t="str">
        <f t="shared" si="38"/>
        <v/>
      </c>
      <c r="K99" s="58" t="str">
        <f t="shared" si="44"/>
        <v/>
      </c>
      <c r="L99" s="59">
        <v>0.72</v>
      </c>
      <c r="M99" s="102" t="str">
        <f t="shared" si="36"/>
        <v/>
      </c>
      <c r="N99" s="104" t="str">
        <f t="shared" si="37"/>
        <v/>
      </c>
      <c r="O99" s="104" t="str">
        <f t="shared" si="39"/>
        <v/>
      </c>
      <c r="P99" s="76" t="str">
        <f t="shared" si="40"/>
        <v/>
      </c>
      <c r="Q99" s="96" t="str">
        <f t="shared" si="41"/>
        <v/>
      </c>
      <c r="U99" s="92">
        <f t="shared" si="45"/>
        <v>2000</v>
      </c>
      <c r="V99" s="92">
        <f t="shared" si="46"/>
        <v>0.72</v>
      </c>
      <c r="W99" s="92">
        <f t="shared" si="47"/>
        <v>3440</v>
      </c>
      <c r="X99" s="92">
        <f t="shared" si="48"/>
        <v>1440</v>
      </c>
      <c r="Y99" s="92">
        <f t="shared" si="42"/>
        <v>0</v>
      </c>
      <c r="Z99" s="92">
        <f t="shared" si="49"/>
        <v>0</v>
      </c>
      <c r="AA99" s="92">
        <f t="shared" si="50"/>
        <v>0</v>
      </c>
      <c r="AB99" s="92">
        <f t="shared" si="43"/>
        <v>0</v>
      </c>
      <c r="AC99" s="85">
        <f t="shared" si="51"/>
        <v>0</v>
      </c>
      <c r="AD99">
        <f t="shared" si="52"/>
        <v>0</v>
      </c>
      <c r="AE99">
        <f t="shared" si="53"/>
        <v>0</v>
      </c>
      <c r="AF99">
        <f>SUM($AC$8:AC99)</f>
        <v>469392</v>
      </c>
      <c r="AG99" s="97" t="str">
        <f t="shared" si="54"/>
        <v>0 w   0 d   0 h</v>
      </c>
    </row>
    <row r="100" spans="3:33" ht="16.2" thickBot="1" x14ac:dyDescent="0.35">
      <c r="C100" s="125"/>
      <c r="D100" s="61" t="s">
        <v>7</v>
      </c>
      <c r="E100" s="128"/>
      <c r="F100" s="27">
        <f>IFERROR(INDEX(DataTab,MATCH(C98,EtappenNo,0),22),"")</f>
        <v>31</v>
      </c>
      <c r="G100" s="15" t="str">
        <f xml:space="preserve"> " verloren (" &amp; (1-$K$3)*100 &amp; "%): "</f>
        <v xml:space="preserve"> verloren (35%): </v>
      </c>
      <c r="H100" s="19">
        <f>IFERROR(INDEX(DataTab,MATCH(C98,EtappenNo,0),18),"")</f>
        <v>-4126.6166585372139</v>
      </c>
      <c r="I100" s="90"/>
      <c r="J100" s="83" t="str">
        <f t="shared" si="38"/>
        <v/>
      </c>
      <c r="K100" s="58" t="str">
        <f t="shared" si="44"/>
        <v/>
      </c>
      <c r="L100" s="59">
        <v>0.72</v>
      </c>
      <c r="M100" s="102" t="str">
        <f t="shared" si="36"/>
        <v/>
      </c>
      <c r="N100" s="104" t="str">
        <f t="shared" si="37"/>
        <v/>
      </c>
      <c r="O100" s="104" t="str">
        <f t="shared" si="39"/>
        <v/>
      </c>
      <c r="P100" s="76" t="str">
        <f t="shared" si="40"/>
        <v/>
      </c>
      <c r="Q100" s="96" t="str">
        <f t="shared" si="41"/>
        <v/>
      </c>
      <c r="U100" s="92">
        <f t="shared" si="45"/>
        <v>2000</v>
      </c>
      <c r="V100" s="92">
        <f t="shared" si="46"/>
        <v>0.72</v>
      </c>
      <c r="W100" s="92">
        <f t="shared" si="47"/>
        <v>3440</v>
      </c>
      <c r="X100" s="92">
        <f t="shared" si="48"/>
        <v>1440</v>
      </c>
      <c r="Y100" s="92">
        <f t="shared" si="42"/>
        <v>0</v>
      </c>
      <c r="Z100" s="92">
        <f t="shared" si="49"/>
        <v>0</v>
      </c>
      <c r="AA100" s="92">
        <f t="shared" si="50"/>
        <v>0</v>
      </c>
      <c r="AB100" s="92">
        <f t="shared" si="43"/>
        <v>0</v>
      </c>
      <c r="AC100" s="85">
        <f t="shared" si="51"/>
        <v>0</v>
      </c>
      <c r="AD100">
        <f t="shared" si="52"/>
        <v>0</v>
      </c>
      <c r="AE100">
        <f t="shared" si="53"/>
        <v>0</v>
      </c>
      <c r="AF100">
        <f>SUM($AC$8:AC100)</f>
        <v>469392</v>
      </c>
      <c r="AG100" s="97" t="str">
        <f t="shared" si="54"/>
        <v>0 w   0 d   0 h</v>
      </c>
    </row>
    <row r="101" spans="3:33" ht="16.8" thickTop="1" thickBot="1" x14ac:dyDescent="0.35">
      <c r="C101" s="126"/>
      <c r="D101" s="60" t="s">
        <v>14</v>
      </c>
      <c r="E101" s="63" t="str">
        <f>IFERROR(INDEX(DataTab,MATCH(C98,EtappenNo,0),24),"")</f>
        <v>1 w   1 d   3 h</v>
      </c>
      <c r="F101" s="20"/>
      <c r="G101" s="21" t="str">
        <f>IFERROR("Budget nach " &amp; INDEX(DataTab,MATCH(C98,EtappenNo,0),23) &amp; " trades: ","")</f>
        <v xml:space="preserve">Budget nach 1621 trades: </v>
      </c>
      <c r="H101" s="28">
        <f>IFERROR(INDEX(DataTab,MATCH(C98,EtappenNo,0),19),"")</f>
        <v>8276.5321182600183</v>
      </c>
      <c r="I101" s="89" t="str">
        <f>IFERROR("(+ " &amp; ROUND(((H101/H98)-1)*100,0) &amp; "%)","")</f>
        <v>(+ 21%)</v>
      </c>
      <c r="J101" s="83" t="str">
        <f t="shared" si="38"/>
        <v/>
      </c>
      <c r="K101" s="58" t="str">
        <f t="shared" si="44"/>
        <v/>
      </c>
      <c r="L101" s="59">
        <v>0.72</v>
      </c>
      <c r="M101" s="102" t="str">
        <f t="shared" si="36"/>
        <v/>
      </c>
      <c r="N101" s="104" t="str">
        <f t="shared" si="37"/>
        <v/>
      </c>
      <c r="O101" s="104" t="str">
        <f t="shared" si="39"/>
        <v/>
      </c>
      <c r="P101" s="76" t="str">
        <f t="shared" si="40"/>
        <v/>
      </c>
      <c r="Q101" s="96" t="str">
        <f t="shared" si="41"/>
        <v/>
      </c>
      <c r="U101" s="92">
        <f t="shared" si="45"/>
        <v>2000</v>
      </c>
      <c r="V101" s="92">
        <f t="shared" si="46"/>
        <v>0.72</v>
      </c>
      <c r="W101" s="92">
        <f t="shared" si="47"/>
        <v>3440</v>
      </c>
      <c r="X101" s="92">
        <f t="shared" si="48"/>
        <v>1440</v>
      </c>
      <c r="Y101" s="92">
        <f t="shared" si="42"/>
        <v>0</v>
      </c>
      <c r="Z101" s="92">
        <f t="shared" si="49"/>
        <v>0</v>
      </c>
      <c r="AA101" s="92">
        <f t="shared" si="50"/>
        <v>0</v>
      </c>
      <c r="AB101" s="92">
        <f t="shared" si="43"/>
        <v>0</v>
      </c>
      <c r="AC101" s="85">
        <f t="shared" si="51"/>
        <v>0</v>
      </c>
      <c r="AD101">
        <f t="shared" si="52"/>
        <v>0</v>
      </c>
      <c r="AE101">
        <f t="shared" si="53"/>
        <v>0</v>
      </c>
      <c r="AF101">
        <f>SUM($AC$8:AC101)</f>
        <v>469392</v>
      </c>
      <c r="AG101" s="97" t="str">
        <f t="shared" si="54"/>
        <v>0 w   0 d   0 h</v>
      </c>
    </row>
    <row r="102" spans="3:33" ht="15" thickBot="1" x14ac:dyDescent="0.35">
      <c r="I102" s="91"/>
      <c r="J102" s="83" t="str">
        <f t="shared" si="38"/>
        <v/>
      </c>
      <c r="K102" s="58" t="str">
        <f t="shared" si="44"/>
        <v/>
      </c>
      <c r="L102" s="59">
        <v>0.72</v>
      </c>
      <c r="M102" s="102" t="str">
        <f t="shared" si="36"/>
        <v/>
      </c>
      <c r="N102" s="104" t="str">
        <f t="shared" si="37"/>
        <v/>
      </c>
      <c r="O102" s="104" t="str">
        <f t="shared" si="39"/>
        <v/>
      </c>
      <c r="P102" s="76" t="str">
        <f t="shared" si="40"/>
        <v/>
      </c>
      <c r="Q102" s="96" t="str">
        <f t="shared" si="41"/>
        <v/>
      </c>
      <c r="U102" s="92">
        <f t="shared" si="45"/>
        <v>2000</v>
      </c>
      <c r="V102" s="92">
        <f t="shared" si="46"/>
        <v>0.72</v>
      </c>
      <c r="W102" s="92">
        <f t="shared" si="47"/>
        <v>3440</v>
      </c>
      <c r="X102" s="92">
        <f t="shared" si="48"/>
        <v>1440</v>
      </c>
      <c r="Y102" s="92">
        <f t="shared" si="42"/>
        <v>0</v>
      </c>
      <c r="Z102" s="92">
        <f t="shared" si="49"/>
        <v>0</v>
      </c>
      <c r="AA102" s="92">
        <f t="shared" si="50"/>
        <v>0</v>
      </c>
      <c r="AB102" s="92">
        <f t="shared" si="43"/>
        <v>0</v>
      </c>
      <c r="AC102" s="85">
        <f t="shared" si="51"/>
        <v>0</v>
      </c>
      <c r="AD102">
        <f t="shared" si="52"/>
        <v>0</v>
      </c>
      <c r="AE102">
        <f t="shared" si="53"/>
        <v>0</v>
      </c>
      <c r="AF102">
        <f>SUM($AC$8:AC102)</f>
        <v>469392</v>
      </c>
      <c r="AG102" s="97" t="str">
        <f t="shared" si="54"/>
        <v>0 w   0 d   0 h</v>
      </c>
    </row>
    <row r="103" spans="3:33" ht="15.6" customHeight="1" x14ac:dyDescent="0.3">
      <c r="C103" s="124">
        <f>C98+1</f>
        <v>20</v>
      </c>
      <c r="D103" s="23">
        <f>IFERROR(INDEX(DataTab,MATCH(C103,EtappenNo,0),12),"")</f>
        <v>159.73999968531149</v>
      </c>
      <c r="E103" s="24">
        <f>IFERROR(INDEX(DataTab,MATCH(C103,EtappenNo,0),3),"")</f>
        <v>0.72</v>
      </c>
      <c r="F103" s="22">
        <f>IFERROR(INDEX(DataTab,MATCH(C103,EtappenNo,0),14),"")</f>
        <v>274.75279945873575</v>
      </c>
      <c r="G103" s="25">
        <f>IFERROR(INDEX(DataTab,MATCH(C103,EtappenNo,0),15),"")</f>
        <v>115.01279977342426</v>
      </c>
      <c r="H103" s="87">
        <f>IFERROR(INDEX(DataTab,MATCH(C103,EtappenNo,0),16),"")</f>
        <v>8276.5321182600183</v>
      </c>
      <c r="I103" s="90"/>
      <c r="J103" s="83" t="str">
        <f t="shared" si="38"/>
        <v/>
      </c>
      <c r="K103" s="58" t="str">
        <f t="shared" si="44"/>
        <v/>
      </c>
      <c r="L103" s="59">
        <v>0.72</v>
      </c>
      <c r="M103" s="102" t="str">
        <f t="shared" si="36"/>
        <v/>
      </c>
      <c r="N103" s="104" t="str">
        <f t="shared" si="37"/>
        <v/>
      </c>
      <c r="O103" s="104" t="str">
        <f t="shared" si="39"/>
        <v/>
      </c>
      <c r="P103" s="76" t="str">
        <f t="shared" si="40"/>
        <v/>
      </c>
      <c r="Q103" s="96" t="str">
        <f t="shared" si="41"/>
        <v/>
      </c>
      <c r="U103" s="92">
        <f t="shared" si="45"/>
        <v>2000</v>
      </c>
      <c r="V103" s="92">
        <f t="shared" si="46"/>
        <v>0.72</v>
      </c>
      <c r="W103" s="92">
        <f t="shared" si="47"/>
        <v>3440</v>
      </c>
      <c r="X103" s="92">
        <f t="shared" si="48"/>
        <v>1440</v>
      </c>
      <c r="Y103" s="92">
        <f t="shared" si="42"/>
        <v>0</v>
      </c>
      <c r="Z103" s="92">
        <f t="shared" si="49"/>
        <v>0</v>
      </c>
      <c r="AA103" s="92">
        <f t="shared" si="50"/>
        <v>0</v>
      </c>
      <c r="AB103" s="92">
        <f t="shared" si="43"/>
        <v>0</v>
      </c>
      <c r="AC103" s="85">
        <f t="shared" si="51"/>
        <v>0</v>
      </c>
      <c r="AD103">
        <f t="shared" si="52"/>
        <v>0</v>
      </c>
      <c r="AE103">
        <f t="shared" si="53"/>
        <v>0</v>
      </c>
      <c r="AF103">
        <f>SUM($AC$8:AC103)</f>
        <v>469392</v>
      </c>
      <c r="AG103" s="97" t="str">
        <f t="shared" si="54"/>
        <v>0 w   0 d   0 h</v>
      </c>
    </row>
    <row r="104" spans="3:33" ht="15.6" x14ac:dyDescent="0.3">
      <c r="C104" s="125"/>
      <c r="D104" s="62" t="s">
        <v>6</v>
      </c>
      <c r="E104" s="127">
        <f>IFERROR(INDEX(DataTab,MATCH(C103,EtappenNo,0),20),"")</f>
        <v>89</v>
      </c>
      <c r="F104" s="26">
        <f>IFERROR(INDEX(DataTab,MATCH(C103,EtappenNo,0),21),"")</f>
        <v>58</v>
      </c>
      <c r="G104" s="16" t="str">
        <f>"gewonnen (" &amp; $K$3*100 &amp; "%): "</f>
        <v xml:space="preserve">gewonnen (65%): </v>
      </c>
      <c r="H104" s="18">
        <f>IFERROR(INDEX(DataTab,MATCH(C103,EtappenNo,0),17),"")</f>
        <v>6670.7423868586075</v>
      </c>
      <c r="I104" s="90"/>
      <c r="J104" s="83" t="str">
        <f t="shared" si="38"/>
        <v/>
      </c>
      <c r="K104" s="58" t="str">
        <f t="shared" si="44"/>
        <v/>
      </c>
      <c r="L104" s="59">
        <v>0.72</v>
      </c>
      <c r="M104" s="102" t="str">
        <f t="shared" si="36"/>
        <v/>
      </c>
      <c r="N104" s="104" t="str">
        <f t="shared" si="37"/>
        <v/>
      </c>
      <c r="O104" s="104" t="str">
        <f t="shared" ref="O104:O107" si="55">IF(Y104=0,"",ROUNDUP(N104/($Q$2*$Q$3),0))</f>
        <v/>
      </c>
      <c r="P104" s="76" t="str">
        <f t="shared" si="40"/>
        <v/>
      </c>
      <c r="Q104" s="96" t="str">
        <f t="shared" ref="Q104:Q107" si="56">IFERROR(P104+INT((P104+MOD($Q$7-2-(MOD($Q$7,7)&lt;2)*(MOD($Q$7,7)+1),7))/5)*2+$Q$7-(MOD($Q$7,7)&lt;2)*(MOD($Q$7,7))-(MOD($Q$7,7)&lt;2),"")</f>
        <v/>
      </c>
      <c r="U104" s="92">
        <f t="shared" si="45"/>
        <v>2000</v>
      </c>
      <c r="V104" s="92">
        <f t="shared" si="46"/>
        <v>0.72</v>
      </c>
      <c r="W104" s="92">
        <f t="shared" si="47"/>
        <v>3440</v>
      </c>
      <c r="X104" s="92">
        <f t="shared" si="48"/>
        <v>1440</v>
      </c>
      <c r="Y104" s="92">
        <f t="shared" si="42"/>
        <v>0</v>
      </c>
      <c r="Z104" s="92">
        <f t="shared" si="49"/>
        <v>0</v>
      </c>
      <c r="AA104" s="92">
        <f t="shared" si="50"/>
        <v>0</v>
      </c>
      <c r="AB104" s="92">
        <f t="shared" si="43"/>
        <v>0</v>
      </c>
      <c r="AC104" s="85">
        <f t="shared" si="51"/>
        <v>0</v>
      </c>
      <c r="AD104">
        <f t="shared" si="52"/>
        <v>0</v>
      </c>
      <c r="AE104">
        <f t="shared" si="53"/>
        <v>0</v>
      </c>
      <c r="AF104">
        <f>SUM($AC$8:AC104)</f>
        <v>469392</v>
      </c>
      <c r="AG104" s="97" t="str">
        <f t="shared" si="54"/>
        <v>0 w   0 d   0 h</v>
      </c>
    </row>
    <row r="105" spans="3:33" ht="16.2" thickBot="1" x14ac:dyDescent="0.35">
      <c r="C105" s="125"/>
      <c r="D105" s="61" t="s">
        <v>7</v>
      </c>
      <c r="E105" s="128"/>
      <c r="F105" s="27">
        <f>IFERROR(INDEX(DataTab,MATCH(C103,EtappenNo,0),22),"")</f>
        <v>31</v>
      </c>
      <c r="G105" s="15" t="str">
        <f xml:space="preserve"> " verloren (" &amp; (1-$K$3)*100 &amp; "%): "</f>
        <v xml:space="preserve"> verloren (35%): </v>
      </c>
      <c r="H105" s="19">
        <f>IFERROR(INDEX(DataTab,MATCH(C103,EtappenNo,0),18),"")</f>
        <v>-4951.9399902446557</v>
      </c>
      <c r="I105" s="90"/>
      <c r="J105" s="83" t="str">
        <f t="shared" si="38"/>
        <v/>
      </c>
      <c r="K105" s="58" t="str">
        <f t="shared" si="44"/>
        <v/>
      </c>
      <c r="L105" s="59">
        <v>0.72</v>
      </c>
      <c r="M105" s="102" t="str">
        <f t="shared" ref="M105:M107" si="57">IF(AB105=0,"",AB105)</f>
        <v/>
      </c>
      <c r="N105" s="104" t="str">
        <f t="shared" ref="N105:N107" si="58">IF(Y105=0,"",AF105)</f>
        <v/>
      </c>
      <c r="O105" s="104" t="str">
        <f t="shared" si="55"/>
        <v/>
      </c>
      <c r="P105" s="76" t="str">
        <f t="shared" si="40"/>
        <v/>
      </c>
      <c r="Q105" s="96" t="str">
        <f t="shared" si="56"/>
        <v/>
      </c>
      <c r="U105" s="92">
        <f t="shared" si="45"/>
        <v>2000</v>
      </c>
      <c r="V105" s="92">
        <f t="shared" si="46"/>
        <v>0.72</v>
      </c>
      <c r="W105" s="92">
        <f t="shared" si="47"/>
        <v>3440</v>
      </c>
      <c r="X105" s="92">
        <f t="shared" si="48"/>
        <v>1440</v>
      </c>
      <c r="Y105" s="92">
        <f t="shared" si="42"/>
        <v>0</v>
      </c>
      <c r="Z105" s="92">
        <f t="shared" si="49"/>
        <v>0</v>
      </c>
      <c r="AA105" s="92">
        <f t="shared" si="50"/>
        <v>0</v>
      </c>
      <c r="AB105" s="92">
        <f t="shared" si="43"/>
        <v>0</v>
      </c>
      <c r="AC105" s="85">
        <f t="shared" si="51"/>
        <v>0</v>
      </c>
      <c r="AD105">
        <f t="shared" si="52"/>
        <v>0</v>
      </c>
      <c r="AE105">
        <f t="shared" si="53"/>
        <v>0</v>
      </c>
      <c r="AF105">
        <f>SUM($AC$8:AC105)</f>
        <v>469392</v>
      </c>
      <c r="AG105" s="97" t="str">
        <f t="shared" si="54"/>
        <v>0 w   0 d   0 h</v>
      </c>
    </row>
    <row r="106" spans="3:33" ht="16.8" thickTop="1" thickBot="1" x14ac:dyDescent="0.35">
      <c r="C106" s="126"/>
      <c r="D106" s="60" t="s">
        <v>14</v>
      </c>
      <c r="E106" s="63" t="str">
        <f>IFERROR(INDEX(DataTab,MATCH(C103,EtappenNo,0),24),"")</f>
        <v>1 w   1 d   3 h</v>
      </c>
      <c r="F106" s="20"/>
      <c r="G106" s="21" t="str">
        <f>IFERROR("Budget nach " &amp; INDEX(DataTab,MATCH(C103,EtappenNo,0),23) &amp; " trades: ","")</f>
        <v xml:space="preserve">Budget nach 1710 trades: </v>
      </c>
      <c r="H106" s="28">
        <f>IFERROR(INDEX(DataTab,MATCH(C103,EtappenNo,0),19),"")</f>
        <v>9995.3345148739681</v>
      </c>
      <c r="I106" s="89" t="str">
        <f>IFERROR("(+ " &amp; ROUND(((H106/H103)-1)*100,0) &amp; "%)","")</f>
        <v>(+ 21%)</v>
      </c>
      <c r="J106" s="83" t="str">
        <f t="shared" si="38"/>
        <v/>
      </c>
      <c r="K106" s="58" t="str">
        <f t="shared" si="44"/>
        <v/>
      </c>
      <c r="L106" s="59">
        <v>0.72</v>
      </c>
      <c r="M106" s="102" t="str">
        <f t="shared" si="57"/>
        <v/>
      </c>
      <c r="N106" s="104" t="str">
        <f t="shared" si="58"/>
        <v/>
      </c>
      <c r="O106" s="104" t="str">
        <f t="shared" si="55"/>
        <v/>
      </c>
      <c r="P106" s="76" t="str">
        <f t="shared" si="40"/>
        <v/>
      </c>
      <c r="Q106" s="96" t="str">
        <f t="shared" si="56"/>
        <v/>
      </c>
      <c r="U106" s="92">
        <f t="shared" si="45"/>
        <v>2000</v>
      </c>
      <c r="V106" s="92">
        <f t="shared" si="46"/>
        <v>0.72</v>
      </c>
      <c r="W106" s="92">
        <f t="shared" si="47"/>
        <v>3440</v>
      </c>
      <c r="X106" s="92">
        <f t="shared" si="48"/>
        <v>1440</v>
      </c>
      <c r="Y106" s="92">
        <f t="shared" si="42"/>
        <v>0</v>
      </c>
      <c r="Z106" s="92">
        <f t="shared" si="49"/>
        <v>0</v>
      </c>
      <c r="AA106" s="92">
        <f t="shared" si="50"/>
        <v>0</v>
      </c>
      <c r="AB106" s="92">
        <f t="shared" si="43"/>
        <v>0</v>
      </c>
      <c r="AC106" s="85">
        <f t="shared" si="51"/>
        <v>0</v>
      </c>
      <c r="AD106">
        <f t="shared" si="52"/>
        <v>0</v>
      </c>
      <c r="AE106">
        <f t="shared" si="53"/>
        <v>0</v>
      </c>
      <c r="AF106">
        <f>SUM($AC$8:AC106)</f>
        <v>469392</v>
      </c>
      <c r="AG106" s="97" t="str">
        <f t="shared" si="54"/>
        <v>0 w   0 d   0 h</v>
      </c>
    </row>
    <row r="107" spans="3:33" x14ac:dyDescent="0.3">
      <c r="J107" s="83" t="str">
        <f t="shared" si="38"/>
        <v/>
      </c>
      <c r="K107" s="58" t="str">
        <f t="shared" si="44"/>
        <v/>
      </c>
      <c r="L107" s="59">
        <v>0.72</v>
      </c>
      <c r="M107" s="102" t="str">
        <f t="shared" si="57"/>
        <v/>
      </c>
      <c r="N107" s="104" t="str">
        <f t="shared" si="58"/>
        <v/>
      </c>
      <c r="O107" s="104" t="str">
        <f t="shared" si="55"/>
        <v/>
      </c>
      <c r="P107" s="76" t="str">
        <f t="shared" si="40"/>
        <v/>
      </c>
      <c r="Q107" s="96" t="str">
        <f t="shared" si="56"/>
        <v/>
      </c>
      <c r="U107" s="92">
        <f t="shared" si="45"/>
        <v>2000</v>
      </c>
      <c r="V107" s="92">
        <f t="shared" si="46"/>
        <v>0.72</v>
      </c>
      <c r="W107" s="92">
        <f t="shared" si="47"/>
        <v>3440</v>
      </c>
      <c r="X107" s="92">
        <f t="shared" si="48"/>
        <v>1440</v>
      </c>
      <c r="Y107" s="92">
        <f t="shared" si="42"/>
        <v>0</v>
      </c>
      <c r="Z107" s="92">
        <f t="shared" si="49"/>
        <v>0</v>
      </c>
      <c r="AA107" s="92">
        <f t="shared" si="50"/>
        <v>0</v>
      </c>
      <c r="AB107" s="92">
        <f t="shared" si="43"/>
        <v>0</v>
      </c>
      <c r="AC107" s="85">
        <f t="shared" si="51"/>
        <v>0</v>
      </c>
      <c r="AD107">
        <f t="shared" si="52"/>
        <v>0</v>
      </c>
      <c r="AE107">
        <f t="shared" si="53"/>
        <v>0</v>
      </c>
      <c r="AF107">
        <f>SUM($AC$8:AC107)</f>
        <v>469392</v>
      </c>
      <c r="AG107" s="97" t="str">
        <f t="shared" si="54"/>
        <v>0 w   0 d   0 h</v>
      </c>
    </row>
    <row r="108" spans="3:33" ht="15.6" customHeight="1" x14ac:dyDescent="0.3"/>
    <row r="109" spans="3:33" ht="15.6" customHeight="1" x14ac:dyDescent="0.3"/>
    <row r="110" spans="3:33" x14ac:dyDescent="0.3"/>
    <row r="111" spans="3:33" hidden="1" x14ac:dyDescent="0.3"/>
    <row r="112" spans="3:33" hidden="1" x14ac:dyDescent="0.3"/>
    <row r="113" hidden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  <row r="120" hidden="1" x14ac:dyDescent="0.3"/>
    <row r="121" hidden="1" x14ac:dyDescent="0.3"/>
    <row r="122" hidden="1" x14ac:dyDescent="0.3"/>
    <row r="123" hidden="1" x14ac:dyDescent="0.3"/>
    <row r="124" hidden="1" x14ac:dyDescent="0.3"/>
    <row r="125" hidden="1" x14ac:dyDescent="0.3"/>
    <row r="126" hidden="1" x14ac:dyDescent="0.3"/>
    <row r="127" hidden="1" x14ac:dyDescent="0.3"/>
    <row r="128" hidden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  <row r="140" hidden="1" x14ac:dyDescent="0.3"/>
    <row r="141" hidden="1" x14ac:dyDescent="0.3"/>
    <row r="142" hidden="1" x14ac:dyDescent="0.3"/>
    <row r="143" hidden="1" x14ac:dyDescent="0.3"/>
    <row r="144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  <row r="150" hidden="1" x14ac:dyDescent="0.3"/>
    <row r="151" hidden="1" x14ac:dyDescent="0.3"/>
    <row r="152" hidden="1" x14ac:dyDescent="0.3"/>
    <row r="153" hidden="1" x14ac:dyDescent="0.3"/>
    <row r="154" hidden="1" x14ac:dyDescent="0.3"/>
    <row r="155" hidden="1" x14ac:dyDescent="0.3"/>
    <row r="156" hidden="1" x14ac:dyDescent="0.3"/>
    <row r="157" hidden="1" x14ac:dyDescent="0.3"/>
    <row r="158" hidden="1" x14ac:dyDescent="0.3"/>
    <row r="159" hidden="1" x14ac:dyDescent="0.3"/>
    <row r="160" hidden="1" x14ac:dyDescent="0.3"/>
    <row r="161" hidden="1" x14ac:dyDescent="0.3"/>
    <row r="162" hidden="1" x14ac:dyDescent="0.3"/>
    <row r="163" hidden="1" x14ac:dyDescent="0.3"/>
    <row r="164" hidden="1" x14ac:dyDescent="0.3"/>
    <row r="165" hidden="1" x14ac:dyDescent="0.3"/>
    <row r="166" hidden="1" x14ac:dyDescent="0.3"/>
    <row r="167" hidden="1" x14ac:dyDescent="0.3"/>
    <row r="168" hidden="1" x14ac:dyDescent="0.3"/>
    <row r="169" hidden="1" x14ac:dyDescent="0.3"/>
    <row r="170" hidden="1" x14ac:dyDescent="0.3"/>
    <row r="171" hidden="1" x14ac:dyDescent="0.3"/>
    <row r="172" hidden="1" x14ac:dyDescent="0.3"/>
    <row r="173" hidden="1" x14ac:dyDescent="0.3"/>
    <row r="174" hidden="1" x14ac:dyDescent="0.3"/>
    <row r="175" hidden="1" x14ac:dyDescent="0.3"/>
    <row r="176" hidden="1" x14ac:dyDescent="0.3"/>
    <row r="177" hidden="1" x14ac:dyDescent="0.3"/>
    <row r="178" hidden="1" x14ac:dyDescent="0.3"/>
    <row r="179" hidden="1" x14ac:dyDescent="0.3"/>
    <row r="180" hidden="1" x14ac:dyDescent="0.3"/>
    <row r="181" hidden="1" x14ac:dyDescent="0.3"/>
    <row r="182" hidden="1" x14ac:dyDescent="0.3"/>
    <row r="183" hidden="1" x14ac:dyDescent="0.3"/>
    <row r="184" hidden="1" x14ac:dyDescent="0.3"/>
    <row r="185" hidden="1" x14ac:dyDescent="0.3"/>
    <row r="186" hidden="1" x14ac:dyDescent="0.3"/>
    <row r="187" hidden="1" x14ac:dyDescent="0.3"/>
    <row r="188" hidden="1" x14ac:dyDescent="0.3"/>
    <row r="189" hidden="1" x14ac:dyDescent="0.3"/>
    <row r="190" hidden="1" x14ac:dyDescent="0.3"/>
    <row r="191" hidden="1" x14ac:dyDescent="0.3"/>
    <row r="192" hidden="1" x14ac:dyDescent="0.3"/>
    <row r="193" hidden="1" x14ac:dyDescent="0.3"/>
    <row r="194" hidden="1" x14ac:dyDescent="0.3"/>
    <row r="195" hidden="1" x14ac:dyDescent="0.3"/>
    <row r="196" hidden="1" x14ac:dyDescent="0.3"/>
    <row r="197" hidden="1" x14ac:dyDescent="0.3"/>
    <row r="198" hidden="1" x14ac:dyDescent="0.3"/>
    <row r="199" hidden="1" x14ac:dyDescent="0.3"/>
    <row r="200" hidden="1" x14ac:dyDescent="0.3"/>
    <row r="201" hidden="1" x14ac:dyDescent="0.3"/>
    <row r="202" hidden="1" x14ac:dyDescent="0.3"/>
    <row r="203" hidden="1" x14ac:dyDescent="0.3"/>
    <row r="204" hidden="1" x14ac:dyDescent="0.3"/>
    <row r="205" hidden="1" x14ac:dyDescent="0.3"/>
    <row r="206" hidden="1" x14ac:dyDescent="0.3"/>
    <row r="207" hidden="1" x14ac:dyDescent="0.3"/>
    <row r="208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  <row r="265" hidden="1" x14ac:dyDescent="0.3"/>
    <row r="266" hidden="1" x14ac:dyDescent="0.3"/>
    <row r="267" hidden="1" x14ac:dyDescent="0.3"/>
    <row r="268" hidden="1" x14ac:dyDescent="0.3"/>
    <row r="269" hidden="1" x14ac:dyDescent="0.3"/>
    <row r="270" hidden="1" x14ac:dyDescent="0.3"/>
    <row r="271" hidden="1" x14ac:dyDescent="0.3"/>
    <row r="272" hidden="1" x14ac:dyDescent="0.3"/>
    <row r="273" hidden="1" x14ac:dyDescent="0.3"/>
    <row r="274" hidden="1" x14ac:dyDescent="0.3"/>
    <row r="275" hidden="1" x14ac:dyDescent="0.3"/>
    <row r="276" hidden="1" x14ac:dyDescent="0.3"/>
    <row r="277" hidden="1" x14ac:dyDescent="0.3"/>
    <row r="278" hidden="1" x14ac:dyDescent="0.3"/>
    <row r="279" hidden="1" x14ac:dyDescent="0.3"/>
    <row r="280" hidden="1" x14ac:dyDescent="0.3"/>
    <row r="281" hidden="1" x14ac:dyDescent="0.3"/>
    <row r="282" hidden="1" x14ac:dyDescent="0.3"/>
    <row r="283" hidden="1" x14ac:dyDescent="0.3"/>
    <row r="284" hidden="1" x14ac:dyDescent="0.3"/>
    <row r="285" hidden="1" x14ac:dyDescent="0.3"/>
    <row r="286" hidden="1" x14ac:dyDescent="0.3"/>
    <row r="287" hidden="1" x14ac:dyDescent="0.3"/>
    <row r="288" hidden="1" x14ac:dyDescent="0.3"/>
    <row r="289" hidden="1" x14ac:dyDescent="0.3"/>
    <row r="290" hidden="1" x14ac:dyDescent="0.3"/>
    <row r="291" hidden="1" x14ac:dyDescent="0.3"/>
    <row r="292" hidden="1" x14ac:dyDescent="0.3"/>
    <row r="293" hidden="1" x14ac:dyDescent="0.3"/>
    <row r="294" hidden="1" x14ac:dyDescent="0.3"/>
    <row r="295" hidden="1" x14ac:dyDescent="0.3"/>
    <row r="296" hidden="1" x14ac:dyDescent="0.3"/>
    <row r="297" hidden="1" x14ac:dyDescent="0.3"/>
    <row r="298" hidden="1" x14ac:dyDescent="0.3"/>
    <row r="299" hidden="1" x14ac:dyDescent="0.3"/>
    <row r="300" hidden="1" x14ac:dyDescent="0.3"/>
    <row r="301" hidden="1" x14ac:dyDescent="0.3"/>
    <row r="302" hidden="1" x14ac:dyDescent="0.3"/>
    <row r="303" hidden="1" x14ac:dyDescent="0.3"/>
    <row r="304" hidden="1" x14ac:dyDescent="0.3"/>
    <row r="305" hidden="1" x14ac:dyDescent="0.3"/>
    <row r="306" hidden="1" x14ac:dyDescent="0.3"/>
    <row r="307" hidden="1" x14ac:dyDescent="0.3"/>
    <row r="308" hidden="1" x14ac:dyDescent="0.3"/>
    <row r="309" hidden="1" x14ac:dyDescent="0.3"/>
    <row r="310" hidden="1" x14ac:dyDescent="0.3"/>
    <row r="311" hidden="1" x14ac:dyDescent="0.3"/>
    <row r="312" hidden="1" x14ac:dyDescent="0.3"/>
    <row r="313" hidden="1" x14ac:dyDescent="0.3"/>
    <row r="314" hidden="1" x14ac:dyDescent="0.3"/>
    <row r="315" hidden="1" x14ac:dyDescent="0.3"/>
    <row r="316" hidden="1" x14ac:dyDescent="0.3"/>
    <row r="317" hidden="1" x14ac:dyDescent="0.3"/>
    <row r="318" hidden="1" x14ac:dyDescent="0.3"/>
    <row r="319" hidden="1" x14ac:dyDescent="0.3"/>
    <row r="320" hidden="1" x14ac:dyDescent="0.3"/>
    <row r="321" hidden="1" x14ac:dyDescent="0.3"/>
    <row r="322" hidden="1" x14ac:dyDescent="0.3"/>
    <row r="323" hidden="1" x14ac:dyDescent="0.3"/>
    <row r="324" hidden="1" x14ac:dyDescent="0.3"/>
    <row r="325" hidden="1" x14ac:dyDescent="0.3"/>
    <row r="326" hidden="1" x14ac:dyDescent="0.3"/>
    <row r="327" hidden="1" x14ac:dyDescent="0.3"/>
    <row r="328" hidden="1" x14ac:dyDescent="0.3"/>
    <row r="329" hidden="1" x14ac:dyDescent="0.3"/>
    <row r="330" hidden="1" x14ac:dyDescent="0.3"/>
    <row r="331" hidden="1" x14ac:dyDescent="0.3"/>
    <row r="332" hidden="1" x14ac:dyDescent="0.3"/>
    <row r="333" hidden="1" x14ac:dyDescent="0.3"/>
    <row r="334" hidden="1" x14ac:dyDescent="0.3"/>
    <row r="335" hidden="1" x14ac:dyDescent="0.3"/>
    <row r="336" hidden="1" x14ac:dyDescent="0.3"/>
    <row r="337" hidden="1" x14ac:dyDescent="0.3"/>
    <row r="338" hidden="1" x14ac:dyDescent="0.3"/>
    <row r="339" hidden="1" x14ac:dyDescent="0.3"/>
    <row r="340" hidden="1" x14ac:dyDescent="0.3"/>
    <row r="341" hidden="1" x14ac:dyDescent="0.3"/>
    <row r="342" hidden="1" x14ac:dyDescent="0.3"/>
    <row r="343" hidden="1" x14ac:dyDescent="0.3"/>
    <row r="344" hidden="1" x14ac:dyDescent="0.3"/>
    <row r="345" hidden="1" x14ac:dyDescent="0.3"/>
    <row r="346" hidden="1" x14ac:dyDescent="0.3"/>
    <row r="347" hidden="1" x14ac:dyDescent="0.3"/>
    <row r="348" hidden="1" x14ac:dyDescent="0.3"/>
    <row r="349" hidden="1" x14ac:dyDescent="0.3"/>
    <row r="350" hidden="1" x14ac:dyDescent="0.3"/>
    <row r="351" hidden="1" x14ac:dyDescent="0.3"/>
    <row r="352" hidden="1" x14ac:dyDescent="0.3"/>
    <row r="353" hidden="1" x14ac:dyDescent="0.3"/>
    <row r="354" hidden="1" x14ac:dyDescent="0.3"/>
    <row r="355" hidden="1" x14ac:dyDescent="0.3"/>
    <row r="356" hidden="1" x14ac:dyDescent="0.3"/>
    <row r="357" hidden="1" x14ac:dyDescent="0.3"/>
    <row r="358" hidden="1" x14ac:dyDescent="0.3"/>
    <row r="359" hidden="1" x14ac:dyDescent="0.3"/>
    <row r="360" hidden="1" x14ac:dyDescent="0.3"/>
    <row r="361" hidden="1" x14ac:dyDescent="0.3"/>
    <row r="362" hidden="1" x14ac:dyDescent="0.3"/>
    <row r="363" hidden="1" x14ac:dyDescent="0.3"/>
    <row r="364" hidden="1" x14ac:dyDescent="0.3"/>
    <row r="365" hidden="1" x14ac:dyDescent="0.3"/>
    <row r="366" hidden="1" x14ac:dyDescent="0.3"/>
    <row r="367" hidden="1" x14ac:dyDescent="0.3"/>
    <row r="368" hidden="1" x14ac:dyDescent="0.3"/>
    <row r="369" hidden="1" x14ac:dyDescent="0.3"/>
    <row r="370" hidden="1" x14ac:dyDescent="0.3"/>
    <row r="371" hidden="1" x14ac:dyDescent="0.3"/>
    <row r="372" hidden="1" x14ac:dyDescent="0.3"/>
    <row r="373" hidden="1" x14ac:dyDescent="0.3"/>
    <row r="374" hidden="1" x14ac:dyDescent="0.3"/>
    <row r="375" hidden="1" x14ac:dyDescent="0.3"/>
    <row r="376" hidden="1" x14ac:dyDescent="0.3"/>
    <row r="377" hidden="1" x14ac:dyDescent="0.3"/>
    <row r="378" hidden="1" x14ac:dyDescent="0.3"/>
    <row r="379" hidden="1" x14ac:dyDescent="0.3"/>
    <row r="380" hidden="1" x14ac:dyDescent="0.3"/>
    <row r="381" hidden="1" x14ac:dyDescent="0.3"/>
    <row r="382" hidden="1" x14ac:dyDescent="0.3"/>
    <row r="383" hidden="1" x14ac:dyDescent="0.3"/>
    <row r="384" hidden="1" x14ac:dyDescent="0.3"/>
    <row r="385" hidden="1" x14ac:dyDescent="0.3"/>
    <row r="386" hidden="1" x14ac:dyDescent="0.3"/>
    <row r="387" hidden="1" x14ac:dyDescent="0.3"/>
    <row r="388" hidden="1" x14ac:dyDescent="0.3"/>
    <row r="389" hidden="1" x14ac:dyDescent="0.3"/>
    <row r="390" hidden="1" x14ac:dyDescent="0.3"/>
    <row r="391" hidden="1" x14ac:dyDescent="0.3"/>
    <row r="392" hidden="1" x14ac:dyDescent="0.3"/>
    <row r="393" hidden="1" x14ac:dyDescent="0.3"/>
    <row r="394" hidden="1" x14ac:dyDescent="0.3"/>
    <row r="395" hidden="1" x14ac:dyDescent="0.3"/>
    <row r="396" hidden="1" x14ac:dyDescent="0.3"/>
    <row r="397" hidden="1" x14ac:dyDescent="0.3"/>
    <row r="398" hidden="1" x14ac:dyDescent="0.3"/>
    <row r="399" hidden="1" x14ac:dyDescent="0.3"/>
    <row r="400" hidden="1" x14ac:dyDescent="0.3"/>
    <row r="401" hidden="1" x14ac:dyDescent="0.3"/>
    <row r="402" hidden="1" x14ac:dyDescent="0.3"/>
    <row r="403" hidden="1" x14ac:dyDescent="0.3"/>
    <row r="404" hidden="1" x14ac:dyDescent="0.3"/>
    <row r="405" hidden="1" x14ac:dyDescent="0.3"/>
    <row r="406" hidden="1" x14ac:dyDescent="0.3"/>
    <row r="407" hidden="1" x14ac:dyDescent="0.3"/>
    <row r="408" hidden="1" x14ac:dyDescent="0.3"/>
    <row r="409" hidden="1" x14ac:dyDescent="0.3"/>
    <row r="410" hidden="1" x14ac:dyDescent="0.3"/>
    <row r="411" hidden="1" x14ac:dyDescent="0.3"/>
    <row r="412" hidden="1" x14ac:dyDescent="0.3"/>
    <row r="413" hidden="1" x14ac:dyDescent="0.3"/>
    <row r="414" hidden="1" x14ac:dyDescent="0.3"/>
    <row r="415" hidden="1" x14ac:dyDescent="0.3"/>
    <row r="416" hidden="1" x14ac:dyDescent="0.3"/>
    <row r="417" hidden="1" x14ac:dyDescent="0.3"/>
    <row r="418" hidden="1" x14ac:dyDescent="0.3"/>
    <row r="419" hidden="1" x14ac:dyDescent="0.3"/>
    <row r="420" hidden="1" x14ac:dyDescent="0.3"/>
    <row r="421" hidden="1" x14ac:dyDescent="0.3"/>
    <row r="422" hidden="1" x14ac:dyDescent="0.3"/>
    <row r="423" hidden="1" x14ac:dyDescent="0.3"/>
    <row r="424" hidden="1" x14ac:dyDescent="0.3"/>
    <row r="425" hidden="1" x14ac:dyDescent="0.3"/>
    <row r="426" hidden="1" x14ac:dyDescent="0.3"/>
    <row r="427" hidden="1" x14ac:dyDescent="0.3"/>
    <row r="428" hidden="1" x14ac:dyDescent="0.3"/>
    <row r="429" hidden="1" x14ac:dyDescent="0.3"/>
    <row r="430" hidden="1" x14ac:dyDescent="0.3"/>
    <row r="431" hidden="1" x14ac:dyDescent="0.3"/>
    <row r="432" hidden="1" x14ac:dyDescent="0.3"/>
    <row r="433" hidden="1" x14ac:dyDescent="0.3"/>
    <row r="434" hidden="1" x14ac:dyDescent="0.3"/>
    <row r="435" hidden="1" x14ac:dyDescent="0.3"/>
    <row r="436" hidden="1" x14ac:dyDescent="0.3"/>
    <row r="437" hidden="1" x14ac:dyDescent="0.3"/>
    <row r="438" hidden="1" x14ac:dyDescent="0.3"/>
    <row r="439" hidden="1" x14ac:dyDescent="0.3"/>
    <row r="440" hidden="1" x14ac:dyDescent="0.3"/>
    <row r="441" hidden="1" x14ac:dyDescent="0.3"/>
    <row r="442" hidden="1" x14ac:dyDescent="0.3"/>
    <row r="443" hidden="1" x14ac:dyDescent="0.3"/>
    <row r="444" hidden="1" x14ac:dyDescent="0.3"/>
    <row r="445" hidden="1" x14ac:dyDescent="0.3"/>
    <row r="446" hidden="1" x14ac:dyDescent="0.3"/>
    <row r="447" hidden="1" x14ac:dyDescent="0.3"/>
    <row r="448" hidden="1" x14ac:dyDescent="0.3"/>
    <row r="449" hidden="1" x14ac:dyDescent="0.3"/>
    <row r="450" hidden="1" x14ac:dyDescent="0.3"/>
    <row r="451" hidden="1" x14ac:dyDescent="0.3"/>
  </sheetData>
  <sheetProtection password="C9B7" sheet="1" objects="1" scenarios="1" selectLockedCells="1"/>
  <mergeCells count="41">
    <mergeCell ref="J2:M2"/>
    <mergeCell ref="C68:C71"/>
    <mergeCell ref="E69:E70"/>
    <mergeCell ref="C73:C76"/>
    <mergeCell ref="E74:E75"/>
    <mergeCell ref="C38:C41"/>
    <mergeCell ref="E39:E40"/>
    <mergeCell ref="C43:C46"/>
    <mergeCell ref="E44:E45"/>
    <mergeCell ref="C48:C51"/>
    <mergeCell ref="E49:E50"/>
    <mergeCell ref="C23:C26"/>
    <mergeCell ref="E24:E25"/>
    <mergeCell ref="C28:C31"/>
    <mergeCell ref="E29:E30"/>
    <mergeCell ref="C33:C36"/>
    <mergeCell ref="C78:C81"/>
    <mergeCell ref="E79:E80"/>
    <mergeCell ref="C53:C56"/>
    <mergeCell ref="E54:E55"/>
    <mergeCell ref="C58:C61"/>
    <mergeCell ref="E59:E60"/>
    <mergeCell ref="C63:C66"/>
    <mergeCell ref="E64:E65"/>
    <mergeCell ref="E34:E35"/>
    <mergeCell ref="C8:C11"/>
    <mergeCell ref="C13:C16"/>
    <mergeCell ref="E9:E10"/>
    <mergeCell ref="E14:E15"/>
    <mergeCell ref="C18:C21"/>
    <mergeCell ref="E19:E20"/>
    <mergeCell ref="C98:C101"/>
    <mergeCell ref="E99:E100"/>
    <mergeCell ref="C103:C106"/>
    <mergeCell ref="E104:E105"/>
    <mergeCell ref="C83:C86"/>
    <mergeCell ref="E84:E85"/>
    <mergeCell ref="C88:C91"/>
    <mergeCell ref="E89:E90"/>
    <mergeCell ref="C93:C96"/>
    <mergeCell ref="E94:E95"/>
  </mergeCells>
  <conditionalFormatting sqref="G9">
    <cfRule type="expression" dxfId="141" priority="1158">
      <formula>F9=0</formula>
    </cfRule>
  </conditionalFormatting>
  <conditionalFormatting sqref="G10">
    <cfRule type="expression" dxfId="140" priority="1157">
      <formula>F10=0</formula>
    </cfRule>
  </conditionalFormatting>
  <conditionalFormatting sqref="F9">
    <cfRule type="cellIs" dxfId="139" priority="1156" operator="equal">
      <formula>0</formula>
    </cfRule>
  </conditionalFormatting>
  <conditionalFormatting sqref="F10">
    <cfRule type="cellIs" dxfId="138" priority="1154" operator="equal">
      <formula>0</formula>
    </cfRule>
  </conditionalFormatting>
  <conditionalFormatting sqref="H9">
    <cfRule type="expression" dxfId="137" priority="1153">
      <formula>F9=0</formula>
    </cfRule>
  </conditionalFormatting>
  <conditionalFormatting sqref="H10">
    <cfRule type="expression" dxfId="136" priority="1152">
      <formula>F10=0</formula>
    </cfRule>
  </conditionalFormatting>
  <conditionalFormatting sqref="E9:E10">
    <cfRule type="expression" dxfId="135" priority="1151">
      <formula>E9="Nicht profitabel!"</formula>
    </cfRule>
  </conditionalFormatting>
  <conditionalFormatting sqref="E14:E15">
    <cfRule type="expression" dxfId="134" priority="909">
      <formula>E14="Nicht profitabel!"</formula>
    </cfRule>
  </conditionalFormatting>
  <conditionalFormatting sqref="G14">
    <cfRule type="expression" dxfId="133" priority="256">
      <formula>F14=0</formula>
    </cfRule>
  </conditionalFormatting>
  <conditionalFormatting sqref="G15">
    <cfRule type="expression" dxfId="132" priority="255">
      <formula>F15=0</formula>
    </cfRule>
  </conditionalFormatting>
  <conditionalFormatting sqref="F14">
    <cfRule type="cellIs" dxfId="131" priority="254" operator="equal">
      <formula>0</formula>
    </cfRule>
  </conditionalFormatting>
  <conditionalFormatting sqref="F15">
    <cfRule type="cellIs" dxfId="130" priority="253" operator="equal">
      <formula>0</formula>
    </cfRule>
  </conditionalFormatting>
  <conditionalFormatting sqref="H14">
    <cfRule type="expression" dxfId="129" priority="252">
      <formula>F14=0</formula>
    </cfRule>
  </conditionalFormatting>
  <conditionalFormatting sqref="H15">
    <cfRule type="expression" dxfId="128" priority="251">
      <formula>F15=0</formula>
    </cfRule>
  </conditionalFormatting>
  <conditionalFormatting sqref="G44">
    <cfRule type="expression" dxfId="127" priority="117">
      <formula>F44=0</formula>
    </cfRule>
  </conditionalFormatting>
  <conditionalFormatting sqref="G45">
    <cfRule type="expression" dxfId="126" priority="116">
      <formula>F45=0</formula>
    </cfRule>
  </conditionalFormatting>
  <conditionalFormatting sqref="F44">
    <cfRule type="cellIs" dxfId="125" priority="115" operator="equal">
      <formula>0</formula>
    </cfRule>
  </conditionalFormatting>
  <conditionalFormatting sqref="F45">
    <cfRule type="cellIs" dxfId="124" priority="114" operator="equal">
      <formula>0</formula>
    </cfRule>
  </conditionalFormatting>
  <conditionalFormatting sqref="H44">
    <cfRule type="expression" dxfId="123" priority="113">
      <formula>F44=0</formula>
    </cfRule>
  </conditionalFormatting>
  <conditionalFormatting sqref="H45">
    <cfRule type="expression" dxfId="122" priority="112">
      <formula>F45=0</formula>
    </cfRule>
  </conditionalFormatting>
  <conditionalFormatting sqref="G54">
    <cfRule type="expression" dxfId="121" priority="103">
      <formula>F54=0</formula>
    </cfRule>
  </conditionalFormatting>
  <conditionalFormatting sqref="G55">
    <cfRule type="expression" dxfId="120" priority="102">
      <formula>F55=0</formula>
    </cfRule>
  </conditionalFormatting>
  <conditionalFormatting sqref="F54">
    <cfRule type="cellIs" dxfId="119" priority="101" operator="equal">
      <formula>0</formula>
    </cfRule>
  </conditionalFormatting>
  <conditionalFormatting sqref="F55">
    <cfRule type="cellIs" dxfId="118" priority="100" operator="equal">
      <formula>0</formula>
    </cfRule>
  </conditionalFormatting>
  <conditionalFormatting sqref="H54">
    <cfRule type="expression" dxfId="117" priority="99">
      <formula>F54=0</formula>
    </cfRule>
  </conditionalFormatting>
  <conditionalFormatting sqref="H55">
    <cfRule type="expression" dxfId="116" priority="98">
      <formula>F55=0</formula>
    </cfRule>
  </conditionalFormatting>
  <conditionalFormatting sqref="G49">
    <cfRule type="expression" dxfId="115" priority="110">
      <formula>F49=0</formula>
    </cfRule>
  </conditionalFormatting>
  <conditionalFormatting sqref="G50">
    <cfRule type="expression" dxfId="114" priority="109">
      <formula>F50=0</formula>
    </cfRule>
  </conditionalFormatting>
  <conditionalFormatting sqref="F49">
    <cfRule type="cellIs" dxfId="113" priority="108" operator="equal">
      <formula>0</formula>
    </cfRule>
  </conditionalFormatting>
  <conditionalFormatting sqref="F50">
    <cfRule type="cellIs" dxfId="112" priority="107" operator="equal">
      <formula>0</formula>
    </cfRule>
  </conditionalFormatting>
  <conditionalFormatting sqref="H49">
    <cfRule type="expression" dxfId="111" priority="106">
      <formula>F49=0</formula>
    </cfRule>
  </conditionalFormatting>
  <conditionalFormatting sqref="H50">
    <cfRule type="expression" dxfId="110" priority="105">
      <formula>F50=0</formula>
    </cfRule>
  </conditionalFormatting>
  <conditionalFormatting sqref="G24">
    <cfRule type="expression" dxfId="109" priority="152">
      <formula>F24=0</formula>
    </cfRule>
  </conditionalFormatting>
  <conditionalFormatting sqref="G25">
    <cfRule type="expression" dxfId="108" priority="151">
      <formula>F25=0</formula>
    </cfRule>
  </conditionalFormatting>
  <conditionalFormatting sqref="F24">
    <cfRule type="cellIs" dxfId="107" priority="150" operator="equal">
      <formula>0</formula>
    </cfRule>
  </conditionalFormatting>
  <conditionalFormatting sqref="F25">
    <cfRule type="cellIs" dxfId="106" priority="149" operator="equal">
      <formula>0</formula>
    </cfRule>
  </conditionalFormatting>
  <conditionalFormatting sqref="H24">
    <cfRule type="expression" dxfId="105" priority="148">
      <formula>F24=0</formula>
    </cfRule>
  </conditionalFormatting>
  <conditionalFormatting sqref="H25">
    <cfRule type="expression" dxfId="104" priority="147">
      <formula>F25=0</formula>
    </cfRule>
  </conditionalFormatting>
  <conditionalFormatting sqref="G19">
    <cfRule type="expression" dxfId="103" priority="145">
      <formula>F19=0</formula>
    </cfRule>
  </conditionalFormatting>
  <conditionalFormatting sqref="G20">
    <cfRule type="expression" dxfId="102" priority="144">
      <formula>F20=0</formula>
    </cfRule>
  </conditionalFormatting>
  <conditionalFormatting sqref="F19">
    <cfRule type="cellIs" dxfId="101" priority="143" operator="equal">
      <formula>0</formula>
    </cfRule>
  </conditionalFormatting>
  <conditionalFormatting sqref="F20">
    <cfRule type="cellIs" dxfId="100" priority="142" operator="equal">
      <formula>0</formula>
    </cfRule>
  </conditionalFormatting>
  <conditionalFormatting sqref="H19">
    <cfRule type="expression" dxfId="99" priority="141">
      <formula>F19=0</formula>
    </cfRule>
  </conditionalFormatting>
  <conditionalFormatting sqref="H20">
    <cfRule type="expression" dxfId="98" priority="140">
      <formula>F20=0</formula>
    </cfRule>
  </conditionalFormatting>
  <conditionalFormatting sqref="G29">
    <cfRule type="expression" dxfId="97" priority="138">
      <formula>F29=0</formula>
    </cfRule>
  </conditionalFormatting>
  <conditionalFormatting sqref="G30">
    <cfRule type="expression" dxfId="96" priority="137">
      <formula>F30=0</formula>
    </cfRule>
  </conditionalFormatting>
  <conditionalFormatting sqref="F29">
    <cfRule type="cellIs" dxfId="95" priority="136" operator="equal">
      <formula>0</formula>
    </cfRule>
  </conditionalFormatting>
  <conditionalFormatting sqref="F30">
    <cfRule type="cellIs" dxfId="94" priority="135" operator="equal">
      <formula>0</formula>
    </cfRule>
  </conditionalFormatting>
  <conditionalFormatting sqref="H29">
    <cfRule type="expression" dxfId="93" priority="134">
      <formula>F29=0</formula>
    </cfRule>
  </conditionalFormatting>
  <conditionalFormatting sqref="H30">
    <cfRule type="expression" dxfId="92" priority="133">
      <formula>F30=0</formula>
    </cfRule>
  </conditionalFormatting>
  <conditionalFormatting sqref="G34">
    <cfRule type="expression" dxfId="91" priority="131">
      <formula>F34=0</formula>
    </cfRule>
  </conditionalFormatting>
  <conditionalFormatting sqref="G35">
    <cfRule type="expression" dxfId="90" priority="130">
      <formula>F35=0</formula>
    </cfRule>
  </conditionalFormatting>
  <conditionalFormatting sqref="F34">
    <cfRule type="cellIs" dxfId="89" priority="129" operator="equal">
      <formula>0</formula>
    </cfRule>
  </conditionalFormatting>
  <conditionalFormatting sqref="F35">
    <cfRule type="cellIs" dxfId="88" priority="128" operator="equal">
      <formula>0</formula>
    </cfRule>
  </conditionalFormatting>
  <conditionalFormatting sqref="H34">
    <cfRule type="expression" dxfId="87" priority="127">
      <formula>F34=0</formula>
    </cfRule>
  </conditionalFormatting>
  <conditionalFormatting sqref="H35">
    <cfRule type="expression" dxfId="86" priority="126">
      <formula>F35=0</formula>
    </cfRule>
  </conditionalFormatting>
  <conditionalFormatting sqref="G39">
    <cfRule type="expression" dxfId="85" priority="124">
      <formula>F39=0</formula>
    </cfRule>
  </conditionalFormatting>
  <conditionalFormatting sqref="G40">
    <cfRule type="expression" dxfId="84" priority="123">
      <formula>F40=0</formula>
    </cfRule>
  </conditionalFormatting>
  <conditionalFormatting sqref="F39">
    <cfRule type="cellIs" dxfId="83" priority="122" operator="equal">
      <formula>0</formula>
    </cfRule>
  </conditionalFormatting>
  <conditionalFormatting sqref="F40">
    <cfRule type="cellIs" dxfId="82" priority="121" operator="equal">
      <formula>0</formula>
    </cfRule>
  </conditionalFormatting>
  <conditionalFormatting sqref="H39">
    <cfRule type="expression" dxfId="81" priority="120">
      <formula>F39=0</formula>
    </cfRule>
  </conditionalFormatting>
  <conditionalFormatting sqref="H40">
    <cfRule type="expression" dxfId="80" priority="119">
      <formula>F40=0</formula>
    </cfRule>
  </conditionalFormatting>
  <conditionalFormatting sqref="G59">
    <cfRule type="expression" dxfId="79" priority="96">
      <formula>F59=0</formula>
    </cfRule>
  </conditionalFormatting>
  <conditionalFormatting sqref="G60">
    <cfRule type="expression" dxfId="78" priority="95">
      <formula>F60=0</formula>
    </cfRule>
  </conditionalFormatting>
  <conditionalFormatting sqref="F59">
    <cfRule type="cellIs" dxfId="77" priority="94" operator="equal">
      <formula>0</formula>
    </cfRule>
  </conditionalFormatting>
  <conditionalFormatting sqref="F60">
    <cfRule type="cellIs" dxfId="76" priority="93" operator="equal">
      <formula>0</formula>
    </cfRule>
  </conditionalFormatting>
  <conditionalFormatting sqref="H59">
    <cfRule type="expression" dxfId="75" priority="92">
      <formula>F59=0</formula>
    </cfRule>
  </conditionalFormatting>
  <conditionalFormatting sqref="H60">
    <cfRule type="expression" dxfId="74" priority="91">
      <formula>F60=0</formula>
    </cfRule>
  </conditionalFormatting>
  <conditionalFormatting sqref="G64">
    <cfRule type="expression" dxfId="73" priority="89">
      <formula>F64=0</formula>
    </cfRule>
  </conditionalFormatting>
  <conditionalFormatting sqref="G65">
    <cfRule type="expression" dxfId="72" priority="88">
      <formula>F65=0</formula>
    </cfRule>
  </conditionalFormatting>
  <conditionalFormatting sqref="F64">
    <cfRule type="cellIs" dxfId="71" priority="87" operator="equal">
      <formula>0</formula>
    </cfRule>
  </conditionalFormatting>
  <conditionalFormatting sqref="F65">
    <cfRule type="cellIs" dxfId="70" priority="86" operator="equal">
      <formula>0</formula>
    </cfRule>
  </conditionalFormatting>
  <conditionalFormatting sqref="H64">
    <cfRule type="expression" dxfId="69" priority="85">
      <formula>F64=0</formula>
    </cfRule>
  </conditionalFormatting>
  <conditionalFormatting sqref="H65">
    <cfRule type="expression" dxfId="68" priority="84">
      <formula>F65=0</formula>
    </cfRule>
  </conditionalFormatting>
  <conditionalFormatting sqref="G69">
    <cfRule type="expression" dxfId="67" priority="82">
      <formula>F69=0</formula>
    </cfRule>
  </conditionalFormatting>
  <conditionalFormatting sqref="G70">
    <cfRule type="expression" dxfId="66" priority="81">
      <formula>F70=0</formula>
    </cfRule>
  </conditionalFormatting>
  <conditionalFormatting sqref="F69">
    <cfRule type="cellIs" dxfId="65" priority="80" operator="equal">
      <formula>0</formula>
    </cfRule>
  </conditionalFormatting>
  <conditionalFormatting sqref="F70">
    <cfRule type="cellIs" dxfId="64" priority="79" operator="equal">
      <formula>0</formula>
    </cfRule>
  </conditionalFormatting>
  <conditionalFormatting sqref="H69">
    <cfRule type="expression" dxfId="63" priority="78">
      <formula>F69=0</formula>
    </cfRule>
  </conditionalFormatting>
  <conditionalFormatting sqref="H70">
    <cfRule type="expression" dxfId="62" priority="77">
      <formula>F70=0</formula>
    </cfRule>
  </conditionalFormatting>
  <conditionalFormatting sqref="G74">
    <cfRule type="expression" dxfId="61" priority="75">
      <formula>F74=0</formula>
    </cfRule>
  </conditionalFormatting>
  <conditionalFormatting sqref="G75">
    <cfRule type="expression" dxfId="60" priority="74">
      <formula>F75=0</formula>
    </cfRule>
  </conditionalFormatting>
  <conditionalFormatting sqref="F74">
    <cfRule type="cellIs" dxfId="59" priority="73" operator="equal">
      <formula>0</formula>
    </cfRule>
  </conditionalFormatting>
  <conditionalFormatting sqref="F75">
    <cfRule type="cellIs" dxfId="58" priority="72" operator="equal">
      <formula>0</formula>
    </cfRule>
  </conditionalFormatting>
  <conditionalFormatting sqref="H74">
    <cfRule type="expression" dxfId="57" priority="71">
      <formula>F74=0</formula>
    </cfRule>
  </conditionalFormatting>
  <conditionalFormatting sqref="H75">
    <cfRule type="expression" dxfId="56" priority="70">
      <formula>F75=0</formula>
    </cfRule>
  </conditionalFormatting>
  <conditionalFormatting sqref="G79">
    <cfRule type="expression" dxfId="55" priority="68">
      <formula>F79=0</formula>
    </cfRule>
  </conditionalFormatting>
  <conditionalFormatting sqref="G80">
    <cfRule type="expression" dxfId="54" priority="67">
      <formula>F80=0</formula>
    </cfRule>
  </conditionalFormatting>
  <conditionalFormatting sqref="F79">
    <cfRule type="cellIs" dxfId="53" priority="66" operator="equal">
      <formula>0</formula>
    </cfRule>
  </conditionalFormatting>
  <conditionalFormatting sqref="F80">
    <cfRule type="cellIs" dxfId="52" priority="65" operator="equal">
      <formula>0</formula>
    </cfRule>
  </conditionalFormatting>
  <conditionalFormatting sqref="H79">
    <cfRule type="expression" dxfId="51" priority="64">
      <formula>F79=0</formula>
    </cfRule>
  </conditionalFormatting>
  <conditionalFormatting sqref="H80">
    <cfRule type="expression" dxfId="50" priority="63">
      <formula>F80=0</formula>
    </cfRule>
  </conditionalFormatting>
  <conditionalFormatting sqref="G84">
    <cfRule type="expression" dxfId="49" priority="61">
      <formula>F84=0</formula>
    </cfRule>
  </conditionalFormatting>
  <conditionalFormatting sqref="G85">
    <cfRule type="expression" dxfId="48" priority="60">
      <formula>F85=0</formula>
    </cfRule>
  </conditionalFormatting>
  <conditionalFormatting sqref="F84">
    <cfRule type="cellIs" dxfId="47" priority="59" operator="equal">
      <formula>0</formula>
    </cfRule>
  </conditionalFormatting>
  <conditionalFormatting sqref="F85">
    <cfRule type="cellIs" dxfId="46" priority="58" operator="equal">
      <formula>0</formula>
    </cfRule>
  </conditionalFormatting>
  <conditionalFormatting sqref="H84">
    <cfRule type="expression" dxfId="45" priority="57">
      <formula>F84=0</formula>
    </cfRule>
  </conditionalFormatting>
  <conditionalFormatting sqref="H85">
    <cfRule type="expression" dxfId="44" priority="56">
      <formula>F85=0</formula>
    </cfRule>
  </conditionalFormatting>
  <conditionalFormatting sqref="G89">
    <cfRule type="expression" dxfId="43" priority="54">
      <formula>F89=0</formula>
    </cfRule>
  </conditionalFormatting>
  <conditionalFormatting sqref="G90">
    <cfRule type="expression" dxfId="42" priority="53">
      <formula>F90=0</formula>
    </cfRule>
  </conditionalFormatting>
  <conditionalFormatting sqref="F89">
    <cfRule type="cellIs" dxfId="41" priority="52" operator="equal">
      <formula>0</formula>
    </cfRule>
  </conditionalFormatting>
  <conditionalFormatting sqref="F90">
    <cfRule type="cellIs" dxfId="40" priority="51" operator="equal">
      <formula>0</formula>
    </cfRule>
  </conditionalFormatting>
  <conditionalFormatting sqref="H89">
    <cfRule type="expression" dxfId="39" priority="50">
      <formula>F89=0</formula>
    </cfRule>
  </conditionalFormatting>
  <conditionalFormatting sqref="H90">
    <cfRule type="expression" dxfId="38" priority="49">
      <formula>F90=0</formula>
    </cfRule>
  </conditionalFormatting>
  <conditionalFormatting sqref="G94">
    <cfRule type="expression" dxfId="37" priority="47">
      <formula>F94=0</formula>
    </cfRule>
  </conditionalFormatting>
  <conditionalFormatting sqref="G95">
    <cfRule type="expression" dxfId="36" priority="46">
      <formula>F95=0</formula>
    </cfRule>
  </conditionalFormatting>
  <conditionalFormatting sqref="F94">
    <cfRule type="cellIs" dxfId="35" priority="45" operator="equal">
      <formula>0</formula>
    </cfRule>
  </conditionalFormatting>
  <conditionalFormatting sqref="F95">
    <cfRule type="cellIs" dxfId="34" priority="44" operator="equal">
      <formula>0</formula>
    </cfRule>
  </conditionalFormatting>
  <conditionalFormatting sqref="H94">
    <cfRule type="expression" dxfId="33" priority="43">
      <formula>F94=0</formula>
    </cfRule>
  </conditionalFormatting>
  <conditionalFormatting sqref="H95">
    <cfRule type="expression" dxfId="32" priority="42">
      <formula>F95=0</formula>
    </cfRule>
  </conditionalFormatting>
  <conditionalFormatting sqref="G99">
    <cfRule type="expression" dxfId="31" priority="40">
      <formula>F99=0</formula>
    </cfRule>
  </conditionalFormatting>
  <conditionalFormatting sqref="G100">
    <cfRule type="expression" dxfId="30" priority="39">
      <formula>F100=0</formula>
    </cfRule>
  </conditionalFormatting>
  <conditionalFormatting sqref="F99">
    <cfRule type="cellIs" dxfId="29" priority="38" operator="equal">
      <formula>0</formula>
    </cfRule>
  </conditionalFormatting>
  <conditionalFormatting sqref="F100">
    <cfRule type="cellIs" dxfId="28" priority="37" operator="equal">
      <formula>0</formula>
    </cfRule>
  </conditionalFormatting>
  <conditionalFormatting sqref="H99">
    <cfRule type="expression" dxfId="27" priority="36">
      <formula>F99=0</formula>
    </cfRule>
  </conditionalFormatting>
  <conditionalFormatting sqref="H100">
    <cfRule type="expression" dxfId="26" priority="35">
      <formula>F100=0</formula>
    </cfRule>
  </conditionalFormatting>
  <conditionalFormatting sqref="G104">
    <cfRule type="expression" dxfId="25" priority="33">
      <formula>F104=0</formula>
    </cfRule>
  </conditionalFormatting>
  <conditionalFormatting sqref="G105">
    <cfRule type="expression" dxfId="24" priority="32">
      <formula>F105=0</formula>
    </cfRule>
  </conditionalFormatting>
  <conditionalFormatting sqref="F104">
    <cfRule type="cellIs" dxfId="23" priority="31" operator="equal">
      <formula>0</formula>
    </cfRule>
  </conditionalFormatting>
  <conditionalFormatting sqref="F105">
    <cfRule type="cellIs" dxfId="22" priority="30" operator="equal">
      <formula>0</formula>
    </cfRule>
  </conditionalFormatting>
  <conditionalFormatting sqref="H104">
    <cfRule type="expression" dxfId="21" priority="29">
      <formula>F104=0</formula>
    </cfRule>
  </conditionalFormatting>
  <conditionalFormatting sqref="H105">
    <cfRule type="expression" dxfId="20" priority="28">
      <formula>F105=0</formula>
    </cfRule>
  </conditionalFormatting>
  <conditionalFormatting sqref="J9:Q107">
    <cfRule type="expression" dxfId="19" priority="20">
      <formula>AND($M8&lt;1000000,$M9&gt;=1000000,$M9&lt;&gt;"")</formula>
    </cfRule>
  </conditionalFormatting>
  <conditionalFormatting sqref="E19:E20">
    <cfRule type="expression" dxfId="18" priority="19">
      <formula>E19="Nicht profitabel!"</formula>
    </cfRule>
  </conditionalFormatting>
  <conditionalFormatting sqref="E24:E25">
    <cfRule type="expression" dxfId="17" priority="18">
      <formula>E24="Nicht profitabel!"</formula>
    </cfRule>
  </conditionalFormatting>
  <conditionalFormatting sqref="E29:E30">
    <cfRule type="expression" dxfId="16" priority="17">
      <formula>E29="Nicht profitabel!"</formula>
    </cfRule>
  </conditionalFormatting>
  <conditionalFormatting sqref="E34:E35">
    <cfRule type="expression" dxfId="15" priority="16">
      <formula>E34="Nicht profitabel!"</formula>
    </cfRule>
  </conditionalFormatting>
  <conditionalFormatting sqref="E39:E40">
    <cfRule type="expression" dxfId="14" priority="15">
      <formula>E39="Nicht profitabel!"</formula>
    </cfRule>
  </conditionalFormatting>
  <conditionalFormatting sqref="E44:E45">
    <cfRule type="expression" dxfId="13" priority="14">
      <formula>E44="Nicht profitabel!"</formula>
    </cfRule>
  </conditionalFormatting>
  <conditionalFormatting sqref="E49:E50">
    <cfRule type="expression" dxfId="12" priority="13">
      <formula>E49="Nicht profitabel!"</formula>
    </cfRule>
  </conditionalFormatting>
  <conditionalFormatting sqref="E54:E55">
    <cfRule type="expression" dxfId="11" priority="12">
      <formula>E54="Nicht profitabel!"</formula>
    </cfRule>
  </conditionalFormatting>
  <conditionalFormatting sqref="E59:E60">
    <cfRule type="expression" dxfId="10" priority="11">
      <formula>E59="Nicht profitabel!"</formula>
    </cfRule>
  </conditionalFormatting>
  <conditionalFormatting sqref="E64:E65">
    <cfRule type="expression" dxfId="9" priority="10">
      <formula>E64="Nicht profitabel!"</formula>
    </cfRule>
  </conditionalFormatting>
  <conditionalFormatting sqref="E69:E70">
    <cfRule type="expression" dxfId="8" priority="9">
      <formula>E69="Nicht profitabel!"</formula>
    </cfRule>
  </conditionalFormatting>
  <conditionalFormatting sqref="E74:E75">
    <cfRule type="expression" dxfId="7" priority="8">
      <formula>E74="Nicht profitabel!"</formula>
    </cfRule>
  </conditionalFormatting>
  <conditionalFormatting sqref="E79:E80">
    <cfRule type="expression" dxfId="6" priority="7">
      <formula>E79="Nicht profitabel!"</formula>
    </cfRule>
  </conditionalFormatting>
  <conditionalFormatting sqref="E84:E85">
    <cfRule type="expression" dxfId="5" priority="6">
      <formula>E84="Nicht profitabel!"</formula>
    </cfRule>
  </conditionalFormatting>
  <conditionalFormatting sqref="E89:E90">
    <cfRule type="expression" dxfId="4" priority="5">
      <formula>E89="Nicht profitabel!"</formula>
    </cfRule>
  </conditionalFormatting>
  <conditionalFormatting sqref="E94:E95">
    <cfRule type="expression" dxfId="3" priority="4">
      <formula>E94="Nicht profitabel!"</formula>
    </cfRule>
  </conditionalFormatting>
  <conditionalFormatting sqref="E99:E100">
    <cfRule type="expression" dxfId="2" priority="3">
      <formula>E99="Nicht profitabel!"</formula>
    </cfRule>
  </conditionalFormatting>
  <conditionalFormatting sqref="E104:E105">
    <cfRule type="expression" dxfId="1" priority="2">
      <formula>E104="Nicht profitabel!"</formula>
    </cfRule>
  </conditionalFormatting>
  <conditionalFormatting sqref="L8:L107">
    <cfRule type="expression" dxfId="0" priority="1">
      <formula>AC8="Nicht profitabel!"</formula>
    </cfRule>
  </conditionalFormatting>
  <dataValidations count="7">
    <dataValidation type="whole" allowBlank="1" showInputMessage="1" showErrorMessage="1" errorTitle="Unzulässige Eingabe" error="Der eingegebene Wert muss zwischen 1 und 5 liegen." sqref="S3">
      <formula1>1</formula1>
      <formula2>5</formula2>
    </dataValidation>
    <dataValidation type="whole" showInputMessage="1" showErrorMessage="1" errorTitle="Unzulässige Eingabe" error="Der Wert muss zwischen 1 und 1200 liegen." sqref="Q2">
      <formula1>1</formula1>
      <formula2>1200</formula2>
    </dataValidation>
    <dataValidation type="custom" allowBlank="1" showInputMessage="1" showErrorMessage="1" errorTitle="Unzulässige Eingabe" error="Der Wert muss zwischen 1 und dem Betrag des Start-Budgets liegen." sqref="E2">
      <formula1>AND(E2&gt;0,E2&lt;=H3)</formula1>
    </dataValidation>
    <dataValidation type="custom" allowBlank="1" showInputMessage="1" showErrorMessage="1" errorTitle="Unzulässige Eingabe" error="Der eingegebene Wert kann nicht kleiner sein, als der min. Einsatz." sqref="E3">
      <formula1>E3&gt;=E2</formula1>
    </dataValidation>
    <dataValidation type="custom" allowBlank="1" showInputMessage="1" showErrorMessage="1" errorTitle="Unzulässige Eingabe" error="Der eingegebene Wert kann nicht kleiner sein als der min. Einsatz." sqref="H3">
      <formula1>H3&gt;=E2</formula1>
    </dataValidation>
    <dataValidation type="list" showInputMessage="1" showErrorMessage="1" errorTitle="Unzulässiger Wert" error="Es sind nur die in der Liste hinterlegten Werte gültig." sqref="C8:C11">
      <formula1>$AI$8:$AI$12</formula1>
    </dataValidation>
    <dataValidation type="decimal" showInputMessage="1" showErrorMessage="1" errorTitle="Unzulässiger Wert" error="Der Wert muss zwischen 1 und 99 liegen." sqref="K3">
      <formula1>0.01</formula1>
      <formula2>0.99</formula2>
    </dataValidation>
  </dataValidations>
  <pageMargins left="0.7" right="0.7" top="0.78740157499999996" bottom="0.78740157499999996" header="0.3" footer="0.3"/>
  <pageSetup paperSize="9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Axcel's BO MoneyManagement</vt:lpstr>
      <vt:lpstr>DataTab</vt:lpstr>
      <vt:lpstr>EtappenNo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Axel</dc:creator>
  <cp:lastModifiedBy>Axel</cp:lastModifiedBy>
  <dcterms:created xsi:type="dcterms:W3CDTF">2015-05-16T15:49:30Z</dcterms:created>
  <dcterms:modified xsi:type="dcterms:W3CDTF">2015-12-05T23:32:07Z</dcterms:modified>
</cp:coreProperties>
</file>